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charts/chart2.xml" ContentType="application/vnd.openxmlformats-officedocument.drawingml.chart+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https://armatecgroup.sharepoint.com/sites/ATNO/Fileshare ATNO/Teknisk informasjon/Beregningsverktøy/"/>
    </mc:Choice>
  </mc:AlternateContent>
  <xr:revisionPtr revIDLastSave="22" documentId="8_{8D24E198-158A-4422-9B44-CDE2AE623791}" xr6:coauthVersionLast="47" xr6:coauthVersionMax="47" xr10:uidLastSave="{5BDCC664-D7E3-4BB2-998C-EF76F52E519E}"/>
  <bookViews>
    <workbookView xWindow="-28920" yWindow="-120" windowWidth="29040" windowHeight="15720" activeTab="1" xr2:uid="{00000000-000D-0000-FFFF-FFFF00000000}"/>
  </bookViews>
  <sheets>
    <sheet name="Introduksjon" sheetId="29" r:id="rId1"/>
    <sheet name="Varme" sheetId="28" r:id="rId2"/>
    <sheet name="Test_trykk_i_anlegg" sheetId="37" state="hidden" r:id="rId3"/>
    <sheet name="3-rørs system" sheetId="36" r:id="rId4"/>
    <sheet name="Bereder" sheetId="30" r:id="rId5"/>
    <sheet name="Solar" sheetId="32" r:id="rId6"/>
    <sheet name="Tappevann" sheetId="33" r:id="rId7"/>
    <sheet name="Vannmengde" sheetId="25" r:id="rId8"/>
    <sheet name="Ekspansjon" sheetId="26" state="hidden" r:id="rId9"/>
    <sheet name="Kompressor-kar" sheetId="23" state="hidden" r:id="rId10"/>
    <sheet name="Diagram" sheetId="24" state="hidden" r:id="rId11"/>
    <sheet name="Data" sheetId="19" state="hidden" r:id="rId12"/>
    <sheet name="Variomat" sheetId="35" state="hidden" r:id="rId13"/>
  </sheets>
  <definedNames>
    <definedName name="_xlnm._FilterDatabase" localSheetId="12" hidden="1">Variomat!#REF!</definedName>
    <definedName name="_xlnm.Criteria" localSheetId="12">Variomat!$E$2:$E$3</definedName>
    <definedName name="dPp">Solar!$D$16</definedName>
    <definedName name="Effekt">Ekspansjon!$D$32</definedName>
    <definedName name="ekspansjon" localSheetId="6">Ekspansjon!$D$5</definedName>
    <definedName name="ekspansjon">Ekspansjon!$D$5</definedName>
    <definedName name="Ekspansjonbereder" localSheetId="3">'3-rørs system'!$E$9</definedName>
    <definedName name="Ekspansjonbereder" localSheetId="6">Bereder!$E$8</definedName>
    <definedName name="Ekspansjonbereder">Bereder!$E$9</definedName>
    <definedName name="komptrykk" localSheetId="6">'Kompressor-kar'!$H$26</definedName>
    <definedName name="komptrykk">'Kompressor-kar'!$H$26</definedName>
    <definedName name="n">Solar!$K$21</definedName>
    <definedName name="P0">Solar!$D$18</definedName>
    <definedName name="Pd">Solar!$L$21</definedName>
    <definedName name="Pe">Solar!$D$20</definedName>
    <definedName name="Pst">Solar!$D$15</definedName>
    <definedName name="Psv">Solar!$D$19</definedName>
    <definedName name="Pumpeenhet">Variomat!$C$8</definedName>
    <definedName name="sikkblåseventil">Ekspansjon!$D$7</definedName>
    <definedName name="sikkstatisk">Ekspansjon!$D$8</definedName>
    <definedName name="solver_adj" localSheetId="10" hidden="1">Diagram!$B$32:$B$34</definedName>
    <definedName name="solver_adj" localSheetId="9" hidden="1">Diagram!$B$2:$B$4</definedName>
    <definedName name="solver_cvg" localSheetId="10" hidden="1">0.0001</definedName>
    <definedName name="solver_cvg" localSheetId="9" hidden="1">0.0001</definedName>
    <definedName name="solver_drv" localSheetId="10" hidden="1">1</definedName>
    <definedName name="solver_drv" localSheetId="9" hidden="1">1</definedName>
    <definedName name="solver_est" localSheetId="10" hidden="1">1</definedName>
    <definedName name="solver_est" localSheetId="9" hidden="1">1</definedName>
    <definedName name="solver_itr" localSheetId="10" hidden="1">100</definedName>
    <definedName name="solver_itr" localSheetId="9" hidden="1">100</definedName>
    <definedName name="solver_lin" localSheetId="10" hidden="1">2</definedName>
    <definedName name="solver_lin" localSheetId="9" hidden="1">2</definedName>
    <definedName name="solver_neg" localSheetId="10" hidden="1">2</definedName>
    <definedName name="solver_neg" localSheetId="9" hidden="1">2</definedName>
    <definedName name="solver_num" localSheetId="10" hidden="1">0</definedName>
    <definedName name="solver_num" localSheetId="9" hidden="1">0</definedName>
    <definedName name="solver_nwt" localSheetId="10" hidden="1">1</definedName>
    <definedName name="solver_nwt" localSheetId="9" hidden="1">1</definedName>
    <definedName name="solver_opt" localSheetId="10" hidden="1">Diagram!$A$38</definedName>
    <definedName name="solver_opt" localSheetId="9" hidden="1">Diagram!$A$8</definedName>
    <definedName name="solver_pre" localSheetId="10" hidden="1">0.000001</definedName>
    <definedName name="solver_pre" localSheetId="9" hidden="1">0.000001</definedName>
    <definedName name="solver_scl" localSheetId="10" hidden="1">2</definedName>
    <definedName name="solver_scl" localSheetId="9" hidden="1">2</definedName>
    <definedName name="solver_sho" localSheetId="10" hidden="1">2</definedName>
    <definedName name="solver_sho" localSheetId="9" hidden="1">2</definedName>
    <definedName name="solver_tim" localSheetId="10" hidden="1">100</definedName>
    <definedName name="solver_tim" localSheetId="9" hidden="1">100</definedName>
    <definedName name="solver_tol" localSheetId="10" hidden="1">0.05</definedName>
    <definedName name="solver_tol" localSheetId="9" hidden="1">0.05</definedName>
    <definedName name="solver_typ" localSheetId="10" hidden="1">2</definedName>
    <definedName name="solver_typ" localSheetId="9" hidden="1">2</definedName>
    <definedName name="solver_val" localSheetId="10" hidden="1">0</definedName>
    <definedName name="solver_val" localSheetId="9" hidden="1">0</definedName>
    <definedName name="ta">Solar!$D$12</definedName>
    <definedName name="tv">Solar!$D$11</definedName>
    <definedName name="_xlnm.Print_Area" localSheetId="1">Varme!$B$2:$H$43</definedName>
    <definedName name="_xlnm.Extract" localSheetId="12">Variomat!$A$25:$H$25</definedName>
    <definedName name="Va">Solar!$D$9</definedName>
    <definedName name="vannmengde" localSheetId="6">Vannmengde!$D$6</definedName>
    <definedName name="vannmengde">Vannmengde!$D$6</definedName>
    <definedName name="Variomat">Variomat!$C$7</definedName>
    <definedName name="Ve">Solar!$D$25</definedName>
    <definedName name="Vk">Solar!$D$6</definedName>
    <definedName name="Vn">Solar!$D$26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3" l="1"/>
  <c r="E14" i="28"/>
  <c r="G4" i="37" s="1"/>
  <c r="B42" i="35"/>
  <c r="B41" i="35"/>
  <c r="B40" i="35"/>
  <c r="B39" i="35"/>
  <c r="B38" i="35"/>
  <c r="B37" i="35"/>
  <c r="B36" i="35"/>
  <c r="B35" i="35"/>
  <c r="B34" i="35"/>
  <c r="B33" i="35"/>
  <c r="B32" i="35"/>
  <c r="B31" i="35"/>
  <c r="H31" i="23"/>
  <c r="H32" i="23"/>
  <c r="H33" i="23"/>
  <c r="H34" i="23"/>
  <c r="H35" i="23"/>
  <c r="H36" i="23"/>
  <c r="H37" i="23"/>
  <c r="H38" i="23"/>
  <c r="H39" i="23"/>
  <c r="H40" i="23"/>
  <c r="H41" i="23"/>
  <c r="E17" i="28"/>
  <c r="G3" i="19"/>
  <c r="G4" i="19"/>
  <c r="G5" i="19"/>
  <c r="G6" i="19"/>
  <c r="G7" i="19"/>
  <c r="G8" i="19"/>
  <c r="G9" i="19"/>
  <c r="G10" i="19"/>
  <c r="G11" i="19"/>
  <c r="G12" i="19"/>
  <c r="G2" i="19"/>
  <c r="O26" i="25"/>
  <c r="G12" i="25"/>
  <c r="B4" i="37"/>
  <c r="E9" i="30"/>
  <c r="J61" i="36"/>
  <c r="J60" i="36"/>
  <c r="J59" i="36"/>
  <c r="J58" i="36"/>
  <c r="J57" i="36"/>
  <c r="J56" i="36"/>
  <c r="J55" i="36"/>
  <c r="J54" i="36"/>
  <c r="J53" i="36"/>
  <c r="J52" i="36"/>
  <c r="J51" i="36"/>
  <c r="J50" i="36"/>
  <c r="J47" i="36"/>
  <c r="J48" i="36"/>
  <c r="J49" i="36"/>
  <c r="I61" i="36"/>
  <c r="I60" i="36"/>
  <c r="I62" i="36"/>
  <c r="I59" i="36"/>
  <c r="I58" i="36"/>
  <c r="I57" i="36"/>
  <c r="I56" i="36"/>
  <c r="I55" i="36"/>
  <c r="I54" i="36"/>
  <c r="I53" i="36"/>
  <c r="I52" i="36"/>
  <c r="I51" i="36"/>
  <c r="I50" i="36"/>
  <c r="I49" i="36"/>
  <c r="I48" i="36"/>
  <c r="I47" i="36"/>
  <c r="E28" i="36"/>
  <c r="E12" i="36"/>
  <c r="E15" i="36"/>
  <c r="E5" i="36"/>
  <c r="C4" i="35"/>
  <c r="C5" i="35" s="1"/>
  <c r="E28" i="30"/>
  <c r="D5" i="32"/>
  <c r="AB19" i="26"/>
  <c r="AB18" i="26"/>
  <c r="AB17" i="26"/>
  <c r="AB16" i="26"/>
  <c r="AB15" i="26"/>
  <c r="AB14" i="26"/>
  <c r="AB13" i="26"/>
  <c r="X26" i="26"/>
  <c r="Y26" i="26"/>
  <c r="D45" i="28"/>
  <c r="O46" i="28"/>
  <c r="R29" i="25"/>
  <c r="R28" i="25"/>
  <c r="R27" i="25"/>
  <c r="R26" i="25"/>
  <c r="D10" i="26"/>
  <c r="B8" i="23" s="1"/>
  <c r="H26" i="23" s="1"/>
  <c r="B19" i="23" s="1"/>
  <c r="P25" i="26"/>
  <c r="P24" i="26"/>
  <c r="P23" i="26"/>
  <c r="P22" i="26"/>
  <c r="P21" i="26"/>
  <c r="P20" i="26"/>
  <c r="P19" i="26"/>
  <c r="P18" i="26"/>
  <c r="P17" i="26"/>
  <c r="P16" i="26"/>
  <c r="P15" i="26"/>
  <c r="P14" i="26"/>
  <c r="P13" i="26"/>
  <c r="P12" i="26"/>
  <c r="P11" i="26"/>
  <c r="M44" i="26"/>
  <c r="M43" i="26"/>
  <c r="M42" i="26"/>
  <c r="M41" i="26"/>
  <c r="M40" i="26"/>
  <c r="M39" i="26"/>
  <c r="M38" i="26"/>
  <c r="M37" i="26"/>
  <c r="M36" i="26"/>
  <c r="M35" i="26"/>
  <c r="M34" i="26"/>
  <c r="M33" i="26"/>
  <c r="M32" i="26"/>
  <c r="M31" i="26"/>
  <c r="M30" i="26"/>
  <c r="F57" i="33"/>
  <c r="F56" i="33"/>
  <c r="F55" i="33"/>
  <c r="F54" i="33"/>
  <c r="F53" i="33"/>
  <c r="F52" i="33"/>
  <c r="F51" i="33"/>
  <c r="F50" i="33"/>
  <c r="F49" i="33"/>
  <c r="F48" i="33"/>
  <c r="F47" i="33"/>
  <c r="F46" i="33"/>
  <c r="F45" i="33"/>
  <c r="F44" i="33"/>
  <c r="F43" i="33"/>
  <c r="F42" i="33"/>
  <c r="F41" i="33"/>
  <c r="M16" i="33"/>
  <c r="N15" i="33"/>
  <c r="K15" i="33"/>
  <c r="N14" i="33"/>
  <c r="K14" i="33"/>
  <c r="N13" i="33"/>
  <c r="K13" i="33"/>
  <c r="N12" i="33"/>
  <c r="K12" i="33"/>
  <c r="N11" i="33"/>
  <c r="K11" i="33"/>
  <c r="N10" i="33"/>
  <c r="K10" i="33"/>
  <c r="J16" i="33"/>
  <c r="E10" i="33"/>
  <c r="E19" i="33"/>
  <c r="E20" i="33"/>
  <c r="N9" i="33"/>
  <c r="K9" i="33"/>
  <c r="N8" i="33"/>
  <c r="K8" i="33"/>
  <c r="C8" i="33"/>
  <c r="N7" i="33"/>
  <c r="K7" i="33"/>
  <c r="K6" i="33"/>
  <c r="D6" i="32"/>
  <c r="D20" i="32"/>
  <c r="D31" i="32"/>
  <c r="K21" i="32"/>
  <c r="L21" i="32"/>
  <c r="D18" i="32" s="1"/>
  <c r="B37" i="26" s="1"/>
  <c r="D37" i="26" s="1"/>
  <c r="D9" i="32"/>
  <c r="D23" i="32" s="1"/>
  <c r="E5" i="30"/>
  <c r="E12" i="30"/>
  <c r="E15" i="30" s="1"/>
  <c r="I57" i="30"/>
  <c r="I58" i="30"/>
  <c r="I59" i="30"/>
  <c r="I60" i="30"/>
  <c r="I61" i="30"/>
  <c r="I62" i="30"/>
  <c r="I63" i="30"/>
  <c r="I56" i="30"/>
  <c r="I55" i="30"/>
  <c r="I54" i="30"/>
  <c r="I53" i="30"/>
  <c r="I52" i="30"/>
  <c r="I51" i="30"/>
  <c r="I50" i="30"/>
  <c r="I49" i="30"/>
  <c r="I48" i="30"/>
  <c r="I47" i="30"/>
  <c r="B7" i="24"/>
  <c r="B8" i="24"/>
  <c r="C7" i="24"/>
  <c r="C8" i="24"/>
  <c r="D7" i="24"/>
  <c r="D8" i="24"/>
  <c r="E7" i="24"/>
  <c r="E8" i="24"/>
  <c r="F7" i="24"/>
  <c r="F8" i="24"/>
  <c r="G7" i="24"/>
  <c r="G8" i="24"/>
  <c r="H7" i="24"/>
  <c r="H8" i="24"/>
  <c r="I7" i="24"/>
  <c r="I8" i="24"/>
  <c r="B17" i="24"/>
  <c r="B18" i="24"/>
  <c r="C17" i="24"/>
  <c r="C18" i="24"/>
  <c r="D17" i="24"/>
  <c r="D18" i="24"/>
  <c r="E17" i="24"/>
  <c r="E18" i="24"/>
  <c r="F17" i="24"/>
  <c r="F18" i="24"/>
  <c r="G17" i="24"/>
  <c r="G18" i="24"/>
  <c r="H17" i="24"/>
  <c r="H18" i="24"/>
  <c r="I17" i="24"/>
  <c r="I18" i="24"/>
  <c r="J17" i="24"/>
  <c r="J18" i="24"/>
  <c r="K17" i="24"/>
  <c r="K18" i="24"/>
  <c r="L17" i="24"/>
  <c r="L18" i="24"/>
  <c r="B27" i="24"/>
  <c r="B28" i="24"/>
  <c r="C27" i="24"/>
  <c r="C28" i="24"/>
  <c r="D27" i="24"/>
  <c r="D28" i="24"/>
  <c r="E27" i="24"/>
  <c r="E28" i="24"/>
  <c r="F27" i="24"/>
  <c r="F28" i="24"/>
  <c r="G27" i="24"/>
  <c r="G28" i="24"/>
  <c r="H27" i="24"/>
  <c r="H28" i="24"/>
  <c r="I27" i="24"/>
  <c r="I28" i="24"/>
  <c r="J27" i="24"/>
  <c r="J28" i="24"/>
  <c r="K27" i="24"/>
  <c r="K28" i="24"/>
  <c r="L27" i="24"/>
  <c r="L28" i="24"/>
  <c r="B37" i="24"/>
  <c r="B38" i="24"/>
  <c r="C37" i="24"/>
  <c r="C38" i="24"/>
  <c r="D37" i="24"/>
  <c r="D38" i="24"/>
  <c r="E37" i="24"/>
  <c r="E38" i="24"/>
  <c r="F37" i="24"/>
  <c r="F38" i="24"/>
  <c r="G37" i="24"/>
  <c r="G38" i="24"/>
  <c r="H37" i="24"/>
  <c r="H38" i="24"/>
  <c r="I37" i="24"/>
  <c r="I38" i="24"/>
  <c r="J37" i="24"/>
  <c r="J38" i="24"/>
  <c r="K37" i="24"/>
  <c r="K38" i="24"/>
  <c r="L37" i="24"/>
  <c r="L38" i="24"/>
  <c r="B47" i="24"/>
  <c r="B48" i="24"/>
  <c r="C47" i="24"/>
  <c r="C48" i="24"/>
  <c r="D47" i="24"/>
  <c r="D48" i="24"/>
  <c r="E47" i="24"/>
  <c r="E48" i="24"/>
  <c r="F47" i="24"/>
  <c r="F48" i="24"/>
  <c r="G47" i="24"/>
  <c r="G48" i="24"/>
  <c r="H47" i="24"/>
  <c r="H48" i="24"/>
  <c r="I47" i="24"/>
  <c r="I48" i="24"/>
  <c r="J47" i="24"/>
  <c r="J48" i="24"/>
  <c r="K47" i="24"/>
  <c r="K48" i="24"/>
  <c r="L47" i="24"/>
  <c r="L48" i="24"/>
  <c r="D3" i="26"/>
  <c r="M8" i="26" s="1"/>
  <c r="E9" i="36" s="1"/>
  <c r="E16" i="36" s="1"/>
  <c r="D4" i="26"/>
  <c r="B5" i="23" s="1"/>
  <c r="B6" i="23" s="1"/>
  <c r="M11" i="26"/>
  <c r="D11" i="26"/>
  <c r="AG20" i="26" s="1"/>
  <c r="M12" i="26"/>
  <c r="M13" i="26"/>
  <c r="AA13" i="26"/>
  <c r="M14" i="26"/>
  <c r="AA14" i="26"/>
  <c r="AA15" i="26"/>
  <c r="M16" i="26"/>
  <c r="AA16" i="26"/>
  <c r="M17" i="26"/>
  <c r="M18" i="26"/>
  <c r="AA17" i="26"/>
  <c r="M19" i="26"/>
  <c r="M20" i="26"/>
  <c r="AA18" i="26"/>
  <c r="M21" i="26"/>
  <c r="M22" i="26"/>
  <c r="AA19" i="26"/>
  <c r="M23" i="26"/>
  <c r="M24" i="26"/>
  <c r="M25" i="26"/>
  <c r="M26" i="26"/>
  <c r="M27" i="26"/>
  <c r="D28" i="26"/>
  <c r="T26" i="26"/>
  <c r="U26" i="26"/>
  <c r="V26" i="26"/>
  <c r="W26" i="26"/>
  <c r="D29" i="26"/>
  <c r="D30" i="26"/>
  <c r="F30" i="26" s="1"/>
  <c r="D31" i="26"/>
  <c r="E31" i="26" s="1"/>
  <c r="H6" i="23"/>
  <c r="H20" i="23"/>
  <c r="H21" i="23"/>
  <c r="H22" i="23"/>
  <c r="H23" i="23"/>
  <c r="H24" i="23"/>
  <c r="G13" i="25"/>
  <c r="M15" i="25"/>
  <c r="O25" i="25"/>
  <c r="P26" i="25"/>
  <c r="Q26" i="25"/>
  <c r="O27" i="25"/>
  <c r="P27" i="25"/>
  <c r="Q27" i="25"/>
  <c r="O28" i="25"/>
  <c r="P28" i="25"/>
  <c r="Q28" i="25"/>
  <c r="O29" i="25"/>
  <c r="P29" i="25"/>
  <c r="Q29" i="25"/>
  <c r="O30" i="25"/>
  <c r="P30" i="25"/>
  <c r="Q30" i="25"/>
  <c r="O31" i="25"/>
  <c r="P31" i="25"/>
  <c r="Q31" i="25"/>
  <c r="B48" i="25"/>
  <c r="L43" i="25" s="1"/>
  <c r="E51" i="25" s="1"/>
  <c r="C48" i="25"/>
  <c r="D48" i="25"/>
  <c r="J50" i="25"/>
  <c r="J51" i="25"/>
  <c r="J52" i="25"/>
  <c r="B63" i="25"/>
  <c r="C63" i="25"/>
  <c r="D63" i="25"/>
  <c r="J65" i="25"/>
  <c r="J66" i="25"/>
  <c r="J67" i="25"/>
  <c r="D75" i="25"/>
  <c r="J73" i="25"/>
  <c r="D5" i="25"/>
  <c r="D78" i="25"/>
  <c r="A18" i="24"/>
  <c r="E29" i="26"/>
  <c r="AC24" i="26"/>
  <c r="AC23" i="26"/>
  <c r="AC22" i="26"/>
  <c r="F21" i="33"/>
  <c r="E21" i="33"/>
  <c r="A8" i="24"/>
  <c r="A28" i="24"/>
  <c r="A48" i="24"/>
  <c r="A38" i="24"/>
  <c r="F29" i="26"/>
  <c r="I29" i="26" s="1"/>
  <c r="G29" i="26" s="1"/>
  <c r="F40" i="28"/>
  <c r="F41" i="28"/>
  <c r="F39" i="28"/>
  <c r="F42" i="28"/>
  <c r="E30" i="26" l="1"/>
  <c r="D32" i="26"/>
  <c r="I22" i="35" s="1"/>
  <c r="F31" i="26"/>
  <c r="I31" i="26" s="1"/>
  <c r="H31" i="26" s="1"/>
  <c r="AC21" i="26"/>
  <c r="E28" i="26"/>
  <c r="L58" i="25"/>
  <c r="L59" i="25" s="1"/>
  <c r="E65" i="25" s="1"/>
  <c r="G14" i="25"/>
  <c r="G18" i="25" s="1"/>
  <c r="D2" i="25" s="1"/>
  <c r="B20" i="23"/>
  <c r="G23" i="23" s="1"/>
  <c r="F7" i="26"/>
  <c r="G7" i="26" s="1"/>
  <c r="D14" i="26" s="1"/>
  <c r="E33" i="28"/>
  <c r="F37" i="26"/>
  <c r="F33" i="28" s="1"/>
  <c r="D26" i="32"/>
  <c r="D25" i="32"/>
  <c r="M14" i="25"/>
  <c r="E16" i="30"/>
  <c r="F17" i="30" s="1"/>
  <c r="E17" i="36"/>
  <c r="F17" i="36"/>
  <c r="E50" i="25"/>
  <c r="E52" i="25"/>
  <c r="D4" i="37"/>
  <c r="E4" i="37" s="1"/>
  <c r="U20" i="26"/>
  <c r="U21" i="26" s="1"/>
  <c r="AC20" i="26"/>
  <c r="V20" i="26"/>
  <c r="V21" i="26" s="1"/>
  <c r="Y20" i="26"/>
  <c r="Y24" i="26" s="1"/>
  <c r="Z20" i="26"/>
  <c r="Z23" i="26" s="1"/>
  <c r="X20" i="26"/>
  <c r="AD20" i="26"/>
  <c r="I30" i="26"/>
  <c r="AE20" i="26"/>
  <c r="H29" i="26"/>
  <c r="J29" i="26" s="1"/>
  <c r="AH20" i="26"/>
  <c r="W20" i="26"/>
  <c r="AF20" i="26"/>
  <c r="C23" i="23"/>
  <c r="B23" i="23"/>
  <c r="G20" i="23" s="1"/>
  <c r="C22" i="23"/>
  <c r="B22" i="23"/>
  <c r="G21" i="23" s="1"/>
  <c r="C20" i="23"/>
  <c r="G24" i="23"/>
  <c r="C21" i="23"/>
  <c r="B21" i="23"/>
  <c r="G22" i="23" s="1"/>
  <c r="G31" i="26" l="1"/>
  <c r="J31" i="26" s="1"/>
  <c r="H16" i="35"/>
  <c r="J16" i="35" s="1"/>
  <c r="I15" i="35"/>
  <c r="I24" i="35"/>
  <c r="H20" i="35"/>
  <c r="J20" i="35" s="1"/>
  <c r="I23" i="35"/>
  <c r="H14" i="35"/>
  <c r="J14" i="35" s="1"/>
  <c r="H21" i="35"/>
  <c r="J21" i="35" s="1"/>
  <c r="I16" i="35"/>
  <c r="C3" i="35"/>
  <c r="I13" i="35"/>
  <c r="I20" i="35"/>
  <c r="I21" i="35"/>
  <c r="I14" i="35"/>
  <c r="I19" i="35"/>
  <c r="B9" i="23"/>
  <c r="B16" i="23" s="1"/>
  <c r="H22" i="35"/>
  <c r="J22" i="35" s="1"/>
  <c r="H19" i="35"/>
  <c r="J19" i="35" s="1"/>
  <c r="H13" i="35"/>
  <c r="J13" i="35" s="1"/>
  <c r="H15" i="35"/>
  <c r="J15" i="35" s="1"/>
  <c r="H24" i="35"/>
  <c r="J24" i="35" s="1"/>
  <c r="H23" i="35"/>
  <c r="J23" i="35" s="1"/>
  <c r="I17" i="35"/>
  <c r="H18" i="35"/>
  <c r="J18" i="35" s="1"/>
  <c r="I18" i="35"/>
  <c r="H17" i="35"/>
  <c r="J17" i="35" s="1"/>
  <c r="E67" i="25"/>
  <c r="E66" i="25"/>
  <c r="D29" i="32"/>
  <c r="D32" i="32"/>
  <c r="D33" i="32"/>
  <c r="D28" i="32"/>
  <c r="E17" i="30"/>
  <c r="M13" i="25"/>
  <c r="E53" i="25"/>
  <c r="D3" i="25" s="1"/>
  <c r="U23" i="26"/>
  <c r="U24" i="26"/>
  <c r="U22" i="26"/>
  <c r="Z21" i="26"/>
  <c r="V23" i="26"/>
  <c r="Y22" i="26"/>
  <c r="Y23" i="26"/>
  <c r="Y21" i="26"/>
  <c r="Z24" i="26"/>
  <c r="Z22" i="26"/>
  <c r="V24" i="26"/>
  <c r="V22" i="26"/>
  <c r="W24" i="26"/>
  <c r="W22" i="26"/>
  <c r="W23" i="26"/>
  <c r="W21" i="26"/>
  <c r="X23" i="26"/>
  <c r="X21" i="26"/>
  <c r="X22" i="26"/>
  <c r="X24" i="26"/>
  <c r="G30" i="26"/>
  <c r="H30" i="26"/>
  <c r="K13" i="35" l="1"/>
  <c r="K14" i="35" s="1"/>
  <c r="A14" i="35" s="1"/>
  <c r="E68" i="25"/>
  <c r="D4" i="25" s="1"/>
  <c r="D6" i="25" s="1"/>
  <c r="D34" i="32"/>
  <c r="AA23" i="26"/>
  <c r="AA22" i="26"/>
  <c r="AA24" i="26"/>
  <c r="AA21" i="26"/>
  <c r="F28" i="26" s="1"/>
  <c r="I28" i="26" s="1"/>
  <c r="J30" i="26"/>
  <c r="K15" i="35" l="1"/>
  <c r="A15" i="35" s="1"/>
  <c r="D2" i="26"/>
  <c r="B10" i="23"/>
  <c r="G28" i="26"/>
  <c r="H28" i="26"/>
  <c r="K16" i="35" l="1"/>
  <c r="A16" i="35" s="1"/>
  <c r="C20" i="37"/>
  <c r="C19" i="37"/>
  <c r="C18" i="37"/>
  <c r="C17" i="37"/>
  <c r="C16" i="37"/>
  <c r="C8" i="37"/>
  <c r="C15" i="37"/>
  <c r="C26" i="37"/>
  <c r="C14" i="37"/>
  <c r="C25" i="37"/>
  <c r="C13" i="37"/>
  <c r="C24" i="37"/>
  <c r="C12" i="37"/>
  <c r="C23" i="37"/>
  <c r="C11" i="37"/>
  <c r="C22" i="37"/>
  <c r="C10" i="37"/>
  <c r="C21" i="37"/>
  <c r="C9" i="37"/>
  <c r="G4" i="26"/>
  <c r="G5" i="26"/>
  <c r="C4" i="37" s="1"/>
  <c r="J28" i="26"/>
  <c r="F38" i="28" s="1"/>
  <c r="K17" i="35" l="1"/>
  <c r="A17" i="35" s="1"/>
  <c r="D5" i="26"/>
  <c r="E11" i="28" s="1"/>
  <c r="E18" i="28" s="1"/>
  <c r="K18" i="35" l="1"/>
  <c r="K19" i="35" s="1"/>
  <c r="A19" i="35" s="1"/>
  <c r="B11" i="23"/>
  <c r="B12" i="23" s="1"/>
  <c r="D15" i="26"/>
  <c r="D16" i="26" s="1"/>
  <c r="D17" i="26" s="1"/>
  <c r="C6" i="35"/>
  <c r="C7" i="35" s="1"/>
  <c r="D24" i="26" s="1"/>
  <c r="F24" i="26" s="1"/>
  <c r="F31" i="28" s="1"/>
  <c r="P46" i="28"/>
  <c r="Q46" i="28" s="1"/>
  <c r="E45" i="28" s="1"/>
  <c r="K20" i="35" l="1"/>
  <c r="A18" i="35"/>
  <c r="D21" i="26"/>
  <c r="F21" i="26" s="1"/>
  <c r="F24" i="28" s="1"/>
  <c r="B14" i="23"/>
  <c r="E19" i="28"/>
  <c r="F4" i="37" s="1"/>
  <c r="H4" i="37" s="1"/>
  <c r="F16" i="26"/>
  <c r="F17" i="26" s="1"/>
  <c r="F21" i="28" s="1"/>
  <c r="E31" i="28"/>
  <c r="D26" i="37"/>
  <c r="D14" i="37"/>
  <c r="D25" i="37"/>
  <c r="D13" i="37"/>
  <c r="D24" i="37"/>
  <c r="D12" i="37"/>
  <c r="D23" i="37"/>
  <c r="D11" i="37"/>
  <c r="D22" i="37"/>
  <c r="D10" i="37"/>
  <c r="D21" i="37"/>
  <c r="D9" i="37"/>
  <c r="D7" i="37"/>
  <c r="D20" i="37"/>
  <c r="D8" i="37"/>
  <c r="D19" i="37"/>
  <c r="D16" i="37"/>
  <c r="D17" i="37"/>
  <c r="D15" i="37"/>
  <c r="D18" i="37"/>
  <c r="A20" i="35"/>
  <c r="K21" i="35"/>
  <c r="A21" i="35" s="1"/>
  <c r="E24" i="28" l="1"/>
  <c r="B15" i="23"/>
  <c r="D22" i="26"/>
  <c r="E23" i="37"/>
  <c r="F23" i="37" s="1"/>
  <c r="G23" i="37" s="1"/>
  <c r="E13" i="37"/>
  <c r="F13" i="37" s="1"/>
  <c r="G13" i="37" s="1"/>
  <c r="E18" i="37"/>
  <c r="F18" i="37" s="1"/>
  <c r="G18" i="37" s="1"/>
  <c r="E15" i="37"/>
  <c r="F15" i="37" s="1"/>
  <c r="G15" i="37" s="1"/>
  <c r="E17" i="37"/>
  <c r="F17" i="37" s="1"/>
  <c r="G17" i="37" s="1"/>
  <c r="E12" i="37"/>
  <c r="F12" i="37" s="1"/>
  <c r="G12" i="37" s="1"/>
  <c r="E16" i="37"/>
  <c r="F16" i="37" s="1"/>
  <c r="G16" i="37" s="1"/>
  <c r="E24" i="37"/>
  <c r="F24" i="37" s="1"/>
  <c r="G24" i="37" s="1"/>
  <c r="E19" i="37"/>
  <c r="F19" i="37" s="1"/>
  <c r="G19" i="37" s="1"/>
  <c r="E8" i="37"/>
  <c r="F8" i="37" s="1"/>
  <c r="G8" i="37" s="1"/>
  <c r="E25" i="37"/>
  <c r="F25" i="37" s="1"/>
  <c r="G25" i="37" s="1"/>
  <c r="E11" i="37"/>
  <c r="F11" i="37" s="1"/>
  <c r="G11" i="37" s="1"/>
  <c r="E9" i="37"/>
  <c r="F9" i="37" s="1"/>
  <c r="G9" i="37" s="1"/>
  <c r="E20" i="37"/>
  <c r="F20" i="37" s="1"/>
  <c r="G20" i="37" s="1"/>
  <c r="E14" i="37"/>
  <c r="F14" i="37" s="1"/>
  <c r="G14" i="37" s="1"/>
  <c r="E7" i="37"/>
  <c r="F7" i="37" s="1"/>
  <c r="G7" i="37" s="1"/>
  <c r="E26" i="37"/>
  <c r="F26" i="37" s="1"/>
  <c r="G26" i="37" s="1"/>
  <c r="E21" i="37"/>
  <c r="F21" i="37" s="1"/>
  <c r="G21" i="37" s="1"/>
  <c r="F19" i="28"/>
  <c r="E10" i="37"/>
  <c r="F10" i="37" s="1"/>
  <c r="G10" i="37" s="1"/>
  <c r="E22" i="37"/>
  <c r="F22" i="37" s="1"/>
  <c r="G22" i="37" s="1"/>
  <c r="K22" i="35"/>
  <c r="F22" i="26" l="1"/>
  <c r="F26" i="28" s="1"/>
  <c r="E26" i="28"/>
  <c r="A22" i="35"/>
  <c r="K23" i="35"/>
  <c r="A23" i="35" l="1"/>
  <c r="K24" i="35"/>
  <c r="A24" i="35" l="1"/>
  <c r="K10" i="35"/>
  <c r="C8" i="35" l="1"/>
  <c r="D25" i="26" s="1"/>
  <c r="E32" i="28" s="1"/>
  <c r="F25" i="26" l="1"/>
  <c r="F32" i="2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JHG</author>
    <author>Jo Helge Gilje</author>
  </authors>
  <commentList>
    <comment ref="E5" authorId="0" shapeId="0" xr:uid="{00000000-0006-0000-0100-000001000000}">
      <text>
        <r>
          <rPr>
            <sz val="8"/>
            <color indexed="81"/>
            <rFont val="Tahoma"/>
            <family val="2"/>
          </rPr>
          <t>Inkluderer vannmengde som tastet inn over</t>
        </r>
      </text>
    </comment>
    <comment ref="E9" authorId="1" shapeId="0" xr:uid="{00000000-0006-0000-0100-000002000000}">
      <text>
        <r>
          <rPr>
            <b/>
            <sz val="9"/>
            <color indexed="81"/>
            <rFont val="Tahoma"/>
            <family val="2"/>
          </rPr>
          <t>Jo Helge Gilje:</t>
        </r>
        <r>
          <rPr>
            <sz val="9"/>
            <color indexed="81"/>
            <rFont val="Tahoma"/>
            <family val="2"/>
          </rPr>
          <t xml:space="preserve">
Som en forsiktighet  benytter SGP alltid turtemperaturen i beregning av ekspansjonskaret. Det teoretisk riktige vil være å benytte gjennomsnittlig temperatur.</t>
        </r>
      </text>
    </comment>
    <comment ref="D24" authorId="0" shapeId="0" xr:uid="{00000000-0006-0000-0100-000003000000}">
      <text>
        <r>
          <rPr>
            <sz val="8"/>
            <color indexed="81"/>
            <rFont val="Tahoma"/>
            <family val="2"/>
          </rPr>
          <t>Hovedkaret er selve karet som tar opp ekspansjonen. Karet kan suppleres med en eller flere slavetanker som bør være av samme størrelse som hovedkaret.
Nytteeffekten på et kompressorkar settes gjerne til 80% av ekspansjonsvolumet da dette gir betydelig lengre levetid. Dersom et kar står 100% fullt i for lang tid kan en oppleve at membranen ødelegges.</t>
        </r>
      </text>
    </comment>
    <comment ref="D26" authorId="0" shapeId="0" xr:uid="{00000000-0006-0000-0100-000004000000}">
      <text>
        <r>
          <rPr>
            <sz val="8"/>
            <color indexed="81"/>
            <rFont val="Tahoma"/>
            <family val="2"/>
          </rPr>
          <t>Automatikk med kompressor må tas ut i forhold til trykk og effektforhold.
Ved høye effekter og for liten kompressor vil ikke kompressoren klare å følge med når kjelen stanser, med mulighet for undertrykk i systemet og innsuging av luft.
VS90/1 kompressoren dekker et stort spekter kompressorer.
Det er mulig å få automatikkenheten utstyrt med 2 kompressorer. Programmet velger aldri denne løsningen, men den benyttes av og til dersom man ikke har 400 V tilgjengelig og trenger noe mer kapasitet enn VS90/1 kan gi (det er kun VS90 som går på 230 V).
I enkelte tilfeller munner også valget om 2 kompressorer på sikkerhetsperspektiv (backup), men dette er relativt uvanlig.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 Helge Gilje</author>
  </authors>
  <commentList>
    <comment ref="E12" authorId="0" shapeId="0" xr:uid="{00000000-0006-0000-0200-000001000000}">
      <text>
        <r>
          <rPr>
            <b/>
            <sz val="8"/>
            <color indexed="81"/>
            <rFont val="Tahoma"/>
            <family val="2"/>
          </rPr>
          <t>Jo Helge Gilje:</t>
        </r>
        <r>
          <rPr>
            <sz val="8"/>
            <color indexed="81"/>
            <rFont val="Tahoma"/>
            <family val="2"/>
          </rPr>
          <t xml:space="preserve">
Ladetrykk settes 0,5 bar under nett-trykket inn.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 Helge Gilje</author>
  </authors>
  <commentList>
    <comment ref="E12" authorId="0" shapeId="0" xr:uid="{00000000-0006-0000-0300-000001000000}">
      <text>
        <r>
          <rPr>
            <b/>
            <sz val="8"/>
            <color indexed="81"/>
            <rFont val="Tahoma"/>
            <family val="2"/>
          </rPr>
          <t>Jo Helge Gilje:</t>
        </r>
        <r>
          <rPr>
            <sz val="8"/>
            <color indexed="81"/>
            <rFont val="Tahoma"/>
            <family val="2"/>
          </rPr>
          <t xml:space="preserve">
Ladetrykk settes 0,5 bar under nett-trykket inn.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Jo Helge Gilje</author>
  </authors>
  <commentList>
    <comment ref="D8" authorId="0" shapeId="0" xr:uid="{00000000-0006-0000-0400-000001000000}">
      <text>
        <r>
          <rPr>
            <b/>
            <sz val="9"/>
            <color indexed="81"/>
            <rFont val="Tahoma"/>
            <family val="2"/>
          </rPr>
          <t>Jo Helge Gilje:</t>
        </r>
        <r>
          <rPr>
            <sz val="9"/>
            <color indexed="81"/>
            <rFont val="Tahoma"/>
            <family val="2"/>
          </rPr>
          <t xml:space="preserve">
Fyll inn lengder på rør under fanen "vannmengde" - eller tast inn verdi i cellen direkte om du kjenner volumet.</t>
        </r>
      </text>
    </comment>
    <comment ref="D16" authorId="0" shapeId="0" xr:uid="{00000000-0006-0000-0400-000002000000}">
      <text>
        <r>
          <rPr>
            <b/>
            <sz val="9"/>
            <color indexed="81"/>
            <rFont val="Tahoma"/>
            <family val="2"/>
          </rPr>
          <t>Jo Helge Gilje:</t>
        </r>
        <r>
          <rPr>
            <sz val="9"/>
            <color indexed="81"/>
            <rFont val="Tahoma"/>
            <family val="2"/>
          </rPr>
          <t xml:space="preserve">
Hvis kar er på trykksiden av pumpen.</t>
        </r>
      </text>
    </comment>
    <comment ref="D25" authorId="0" shapeId="0" xr:uid="{00000000-0006-0000-0400-000003000000}">
      <text>
        <r>
          <rPr>
            <b/>
            <sz val="9"/>
            <color indexed="81"/>
            <rFont val="Tahoma"/>
            <family val="2"/>
          </rPr>
          <t>Jo Helge Gilje:</t>
        </r>
        <r>
          <rPr>
            <sz val="9"/>
            <color indexed="81"/>
            <rFont val="Tahoma"/>
            <family val="2"/>
          </rPr>
          <t xml:space="preserve">
Indikerer ekspansjon i normaltilfellet, og tar ikke høyde for potensiell damputvikling i panelene.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Jo Helge Gilje</author>
    <author>Jo Helge</author>
  </authors>
  <commentList>
    <comment ref="D5" authorId="0" shapeId="0" xr:uid="{00000000-0006-0000-0700-000001000000}">
      <text>
        <r>
          <rPr>
            <b/>
            <sz val="9"/>
            <color indexed="81"/>
            <rFont val="Tahoma"/>
            <family val="2"/>
          </rPr>
          <t>Jo Helge Gilje:</t>
        </r>
        <r>
          <rPr>
            <sz val="9"/>
            <color indexed="81"/>
            <rFont val="Tahoma"/>
            <family val="2"/>
          </rPr>
          <t xml:space="preserve">
Inkluderer vannreserve på 0,5% ihht NS-EN 12828</t>
        </r>
      </text>
    </comment>
    <comment ref="D7" authorId="1" shapeId="0" xr:uid="{00000000-0006-0000-0700-000002000000}">
      <text>
        <r>
          <rPr>
            <sz val="8"/>
            <color indexed="81"/>
            <rFont val="Tahoma"/>
            <family val="2"/>
          </rPr>
          <t>I henhold til de foreslåtte nye EU-normer skal det trekkes fra 0,5 bar på sikkerhetsventilens blåsetrykk ved beregning av ekspansjonskar.</t>
        </r>
      </text>
    </comment>
    <comment ref="G7" authorId="0" shapeId="0" xr:uid="{449C53BE-37C5-462B-A179-C6990430310B}">
      <text>
        <r>
          <rPr>
            <b/>
            <sz val="9"/>
            <color indexed="81"/>
            <rFont val="Tahoma"/>
            <charset val="1"/>
          </rPr>
          <t>Jo Helge Gilje:</t>
        </r>
        <r>
          <rPr>
            <sz val="9"/>
            <color indexed="81"/>
            <rFont val="Tahoma"/>
            <charset val="1"/>
          </rPr>
          <t xml:space="preserve">
Regner maks av 5 mvs sikkerhetsmargin på sikkerhetsventil, eller 10% margin ift blåsetrykk (største av de 2)</t>
        </r>
      </text>
    </comment>
    <comment ref="A17" authorId="1" shapeId="0" xr:uid="{00000000-0006-0000-0700-000003000000}">
      <text>
        <r>
          <rPr>
            <sz val="8"/>
            <color indexed="81"/>
            <rFont val="Tahoma"/>
            <family val="2"/>
          </rPr>
          <t>En serviceventil muliggjør enkel utestengelse av anlegget samtidig som man kan tømme karet. Dette er nødvendig for å foreta den anbefalte årlige service av karet for å sjekke ladetrykket.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Jo Helge Gilje</author>
  </authors>
  <commentList>
    <comment ref="J26" authorId="0" shapeId="0" xr:uid="{A10C3F85-2F96-490D-B1A7-02CFFAF1F3F6}">
      <text>
        <r>
          <rPr>
            <b/>
            <sz val="9"/>
            <color indexed="81"/>
            <rFont val="Tahoma"/>
            <charset val="1"/>
          </rPr>
          <t>Jo Helge Gilje:</t>
        </r>
        <r>
          <rPr>
            <sz val="9"/>
            <color indexed="81"/>
            <rFont val="Tahoma"/>
            <charset val="1"/>
          </rPr>
          <t xml:space="preserve">
Nytteeffekt kompressorkar</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Jo Helge Gilje</author>
  </authors>
  <commentList>
    <comment ref="F12" authorId="0" shapeId="0" xr:uid="{00000000-0006-0000-0B00-000001000000}">
      <text>
        <r>
          <rPr>
            <b/>
            <sz val="9"/>
            <color indexed="81"/>
            <rFont val="Tahoma"/>
            <family val="2"/>
          </rPr>
          <t>Jo Helge Gilje:</t>
        </r>
        <r>
          <rPr>
            <sz val="9"/>
            <color indexed="81"/>
            <rFont val="Tahoma"/>
            <family val="2"/>
          </rPr>
          <t xml:space="preserve">
hvor på aksen kurven krysser 0 MW (altså Y-kurven)</t>
        </r>
      </text>
    </comment>
    <comment ref="D27" authorId="0" shapeId="0" xr:uid="{FF1BBE9E-9FC4-4EAC-B890-7A34F4BC14DB}">
      <text>
        <r>
          <rPr>
            <b/>
            <sz val="9"/>
            <color indexed="81"/>
            <rFont val="Tahoma"/>
            <charset val="1"/>
          </rPr>
          <t>Jo Helge Gilje:</t>
        </r>
        <r>
          <rPr>
            <sz val="9"/>
            <color indexed="81"/>
            <rFont val="Tahoma"/>
            <charset val="1"/>
          </rPr>
          <t xml:space="preserve">
Nytteeffekt ekspansjonskar</t>
        </r>
      </text>
    </comment>
  </commentList>
</comments>
</file>

<file path=xl/sharedStrings.xml><?xml version="1.0" encoding="utf-8"?>
<sst xmlns="http://schemas.openxmlformats.org/spreadsheetml/2006/main" count="895" uniqueCount="536">
  <si>
    <t>Kalkulasjon av standard ekspansjonskar og sikkerhetsventiler</t>
  </si>
  <si>
    <r>
      <t xml:space="preserve">Dette regnearket er utviklet internt i SGP Varmeteknikk for beregning av ekspansjonssystemer. Programmet beregner kun </t>
    </r>
    <r>
      <rPr>
        <b/>
        <sz val="10"/>
        <rFont val="Arial"/>
        <family val="2"/>
      </rPr>
      <t>standard n-kar</t>
    </r>
    <r>
      <rPr>
        <sz val="10"/>
        <rFont val="Arial"/>
        <family val="2"/>
      </rPr>
      <t xml:space="preserve"> og standard </t>
    </r>
    <r>
      <rPr>
        <b/>
        <sz val="10"/>
        <rFont val="Arial"/>
        <family val="2"/>
      </rPr>
      <t>kompressorkar</t>
    </r>
    <r>
      <rPr>
        <sz val="10"/>
        <rFont val="Arial"/>
        <family val="2"/>
      </rPr>
      <t xml:space="preserve"> samt sikkerhetsventiler. SGP har også ekspansjonsløsninger for høyere trykklasser (D og DE-kar) samt pumpestyrte ekspansjonsløsninger (Variomat).SGP er en av landets ledende utstyrsleverandører og leverer ledende merkevarer innenfor vannbåren varme. SGPs utstyrsprogram strekker seg fra biokjeler, olje-gasskjeler, fjernvarmerør, solvarme, ekspansjon, skorsteiner, kundesentraler, etc. Kort fortalt alt utstyr som skal til for å etablere mindre nærvarmeanlegg.</t>
    </r>
  </si>
  <si>
    <t>SGP ble etablert i 1929 og er således også en av landets eldste leverandører og samarbeidspartnere til VVS-bransjen.</t>
  </si>
  <si>
    <t>Generelt om ekspansjon</t>
  </si>
  <si>
    <t>Feildimensjonerte ekspansjonsanlegg er en viktig årsakt til driftsforstyrrelser. Dette tilkjennegir seg spesielt i form av driftsforstyrrelser under høst og vårperiodene.</t>
  </si>
  <si>
    <t>Bruk av arket</t>
  </si>
  <si>
    <t>Arket leveres "åpent", det vil si at alle kan gjøre endringer i arket dersom det er behov for dette. Vi ber imidlertid om at arket alltid videresendes i sitt originale format og at SGP anerkjennes som "opphavet" til arket ved modifiseringer.</t>
  </si>
  <si>
    <t>Skjemaet "Varme" benyttes til å beregne ekspansjon for standard varme (og kjøleanlegg)</t>
  </si>
  <si>
    <t>Skjemaet "Bereder" benyttes til å beregne ekspansjon for beredersystemer</t>
  </si>
  <si>
    <t>Skjemaet "Solvarme" benyttes til å beregne ekspansjon til solvarmesystemer</t>
  </si>
  <si>
    <t>Skjemaet "Tappevann" benyttes til å beregne ekspansjon til brønnsystemer / tappevann</t>
  </si>
  <si>
    <t>Skjemaet "Vannmengde" kan benyttes til å kalkulere eller estimere vannmengde i anlegget.</t>
  </si>
  <si>
    <t>Øvrige ark i regnearket er skjult og er i hovedsak tekniske hjelpeark. Det er mulig å foreta endringer i sikkerhetsmarginer i forhold til standard under arket "Eksansjon", men dette anbefales normalt ikke. SGP har over 30 års erfaring med kalkulasjon og levering av ekspansjonssystemer og har lagt denne erfaringen inn i våre kalkulasjonsmodeller, den harmonerer også med den forventede kommende EU-normen for ekspansjon. SGP påtar seg inget ansvar i forbindelse med eventuelle feil i regnearket.</t>
  </si>
  <si>
    <r>
      <t xml:space="preserve">Har du spørsmål til regnearket eller ønsker tilbud på ekspansjon, vakuumutluftere, sikkerhetsventiler, biokjeler, backupkjeler, fjernvarmerør, skorsteiner, etc. så nøl ikke med å ta kontakt på 
</t>
    </r>
    <r>
      <rPr>
        <b/>
        <sz val="10"/>
        <rFont val="Arial"/>
        <family val="2"/>
      </rPr>
      <t>telefon 67 52 21 21</t>
    </r>
    <r>
      <rPr>
        <sz val="10"/>
        <rFont val="Arial"/>
        <family val="2"/>
      </rPr>
      <t xml:space="preserve"> eller besøk oss på våre hjemmesider </t>
    </r>
    <r>
      <rPr>
        <b/>
        <sz val="10"/>
        <rFont val="Arial"/>
        <family val="2"/>
      </rPr>
      <t>www.sgp.no.</t>
    </r>
    <r>
      <rPr>
        <sz val="10"/>
        <rFont val="Arial"/>
        <family val="2"/>
      </rPr>
      <t xml:space="preserve"> SGP er Norges ledende utstyrsleverandør og kan tilby alt innen vannbåren varme, basert på kjente, internasjonale merkevarer. SGP har varmet Norge siden 1929.</t>
    </r>
  </si>
  <si>
    <r>
      <t>Reflex</t>
    </r>
    <r>
      <rPr>
        <sz val="10"/>
        <rFont val="Arial"/>
        <family val="2"/>
      </rPr>
      <t xml:space="preserve"> er en av Europas ledende produsenter av ekspansjonssystemer</t>
    </r>
  </si>
  <si>
    <r>
      <t>SYR</t>
    </r>
    <r>
      <rPr>
        <sz val="10"/>
        <rFont val="Arial"/>
        <family val="2"/>
      </rPr>
      <t xml:space="preserve"> er en ledende leverandør av sikkerhetsventiler og tilbakeslagssikringer</t>
    </r>
  </si>
  <si>
    <r>
      <t>De Dietrich</t>
    </r>
    <r>
      <rPr>
        <sz val="10"/>
        <rFont val="Arial"/>
        <family val="2"/>
      </rPr>
      <t xml:space="preserve"> er en av Europas ledende produsenter av olje/gasskjeler</t>
    </r>
  </si>
  <si>
    <r>
      <t>Alfa Laval</t>
    </r>
    <r>
      <rPr>
        <sz val="10"/>
        <rFont val="Arial"/>
        <family val="2"/>
      </rPr>
      <t xml:space="preserve"> er verdens ledende produsent av varmevekslere</t>
    </r>
  </si>
  <si>
    <t>Beregning av ekspansjonskar og sikkerhetsventiler</t>
  </si>
  <si>
    <r>
      <rPr>
        <b/>
        <sz val="10"/>
        <rFont val="Arial"/>
        <family val="2"/>
      </rPr>
      <t>EN12828</t>
    </r>
    <r>
      <rPr>
        <sz val="10"/>
        <rFont val="Arial"/>
        <family val="2"/>
      </rPr>
      <t xml:space="preserve"> normen tilsier at ekspansjonsvolumet i et varmeanlegg skal beregnes som ekspansjonsvolumet + et vannspeil som skal tilsvare det største av 3 liter eller 0,5% av anleggets volum. Dette gjøres for å sikre at anlegget har et visst volum til å sikre trykket om temperaturen synker eller når en lufter ut anlegget. Om en har automatisk vannpåfylling så KAN man driste seg til å fravike normen på dette punktet og beregne ekspansjonssystemet UTEN dette normbeskrevne sikkerhetsvolumet.</t>
    </r>
  </si>
  <si>
    <t>Ja</t>
  </si>
  <si>
    <t>Nei</t>
  </si>
  <si>
    <t>Vannmengde eksakt</t>
  </si>
  <si>
    <t>liter</t>
  </si>
  <si>
    <t>Vannmengde kalkulert fra vannmengde ark</t>
  </si>
  <si>
    <t>Type væske</t>
  </si>
  <si>
    <t>Vann</t>
  </si>
  <si>
    <t>Glykol 30%</t>
  </si>
  <si>
    <t>Temperatur</t>
  </si>
  <si>
    <t>grader C</t>
  </si>
  <si>
    <t>Glykol 40%</t>
  </si>
  <si>
    <t>Returtemperatur</t>
  </si>
  <si>
    <t>Glykol 50%</t>
  </si>
  <si>
    <t>Beregning ihht EN-12828</t>
  </si>
  <si>
    <t>Total ekspansjon</t>
  </si>
  <si>
    <t>|</t>
  </si>
  <si>
    <t>HX35</t>
  </si>
  <si>
    <t>Statisk trykk</t>
  </si>
  <si>
    <t>mvs</t>
  </si>
  <si>
    <t>KilfrostGeo30</t>
  </si>
  <si>
    <t>Blåsetrykk</t>
  </si>
  <si>
    <t>Ladetrykk</t>
  </si>
  <si>
    <t>Standard kar</t>
  </si>
  <si>
    <t>Standard ekspansjonskar er rimelige og enkle. Riktig dimensjonert og vedlikeholdt så vil de holde et trykk i de ulike driftsfasene mellom ladetrykk + 0,3 bar (påfyllingstrykket) og sikkerhetens blåsetrykk - 0,5 bar.
I anlegg med liten avstand mellom statisk trykk og blåsetrykk får en svært liten nytteeffekt av karene.</t>
  </si>
  <si>
    <t>Nytteeffekt kar</t>
  </si>
  <si>
    <t>Minimum karstørrelse</t>
  </si>
  <si>
    <t>Valgt kar</t>
  </si>
  <si>
    <t>Serviceventil</t>
  </si>
  <si>
    <t>Kompressorkar</t>
  </si>
  <si>
    <t>Kompressorkar er svært godt egnet til å holde et stabilt trykk gjennom alle driftsfaser (+/- 0,1 bar). Dette gjør den ved å kontinuerlig justere ladetrykket til driftssituasjonen.
Et kompressorkar har normalt sett også en vektcelle, hvilket gjør at den vet om anlegget trenger etterfylling eller ikke - før mangelen på vann har resultert i problematisk drift. Automatisk vannpåfylling kan enkelt kobles til en Reflexomat.</t>
  </si>
  <si>
    <t>Hovedkar</t>
  </si>
  <si>
    <t>Kompressor</t>
  </si>
  <si>
    <t>Dersom høyde / størrelse på karet gjør det vanskelig å plassere kan man dele opp ved bruk av slavetanker. Ta kontakt med SGP</t>
  </si>
  <si>
    <t>Pumpekar</t>
  </si>
  <si>
    <t>Et pumpekar holder også svært stabilt trykk i anlegget (+/- 0,2 bar). Ettersom den benytter en pumpe til å føre vann ut eller inn av en trykkløs beholder så kan den også enkelt håndtere anlegg med høye trykk.
Beholderen har en gummimembran for å hindre at luft diffunderer inn i vannet i ekspansjonskaret. Dette anbefales for å unngå å tilføre luft (inklusive oksygen) til anlegget - noe som eventuelt vil resultere i korrosjon i anlegget over tid.
Variomat enheten kan også brukes til å lufte ut anlegget med kun atmosfærisk trykk. I toppen av tanken/membranen sitter det en luftepotte som lufter ut gasser som er skilt ut i ekspansjonstanken.
Det anbefales å utstyre et pumpestyrt anlegg med et lite standard ekspansjonskar i tillegg - slik at pumpens støt ikke forårsaker støy eller problemer i anlegget.
Vannpåfylling gjøres basert på vektcelle og vannstand i tanken.</t>
  </si>
  <si>
    <t>Pumpeenhet</t>
  </si>
  <si>
    <t>Styrekar</t>
  </si>
  <si>
    <t>Sikkerhetsventiler</t>
  </si>
  <si>
    <t>Kjele effekt</t>
  </si>
  <si>
    <t>Kjele 1</t>
  </si>
  <si>
    <t>Kjele 2</t>
  </si>
  <si>
    <t>Kjele 3</t>
  </si>
  <si>
    <t>Kjele 4</t>
  </si>
  <si>
    <t>Forkjøler</t>
  </si>
  <si>
    <t>En forkjøler benyttes for å sikre at varmt vann (over 70°C) ikke kommer i direkte kontakt med ekspansjonskaret. En kan løse dette også ved hjelp av større dimensjon på rørstrekket frem til ekspansjonskaret, men en må da sikre en "varmelås" på rørstrekket</t>
  </si>
  <si>
    <t>Forkjøler volum</t>
  </si>
  <si>
    <t>Reflex forkjøler V20</t>
  </si>
  <si>
    <t>Reflex forkjøler V60</t>
  </si>
  <si>
    <t>Reflex forkjøler V200</t>
  </si>
  <si>
    <t>Reflex forkjøler V300</t>
  </si>
  <si>
    <t>Reflex forkjøler V500</t>
  </si>
  <si>
    <t>Reflex forkjøler V750</t>
  </si>
  <si>
    <t>Reflex forkjøler V1000</t>
  </si>
  <si>
    <t>Reflex forkjøler V1500</t>
  </si>
  <si>
    <t>Reflex forkjøler V2000</t>
  </si>
  <si>
    <t>Reflex forkjøler V3000</t>
  </si>
  <si>
    <t>Kontakt SGP</t>
  </si>
  <si>
    <t>Gjelder kun for standardkar (n-kar og de-kar)</t>
  </si>
  <si>
    <t>Manuelt valgt karstørrelse</t>
  </si>
  <si>
    <t>T2</t>
  </si>
  <si>
    <t>V2</t>
  </si>
  <si>
    <t>P2</t>
  </si>
  <si>
    <t>Bar</t>
  </si>
  <si>
    <t>V1</t>
  </si>
  <si>
    <t>P1</t>
  </si>
  <si>
    <t>Volumtrykk</t>
  </si>
  <si>
    <t>Grader</t>
  </si>
  <si>
    <t>Ekspansjonsvolum</t>
  </si>
  <si>
    <t>Restvolum kar</t>
  </si>
  <si>
    <t>Trykk (mvs)</t>
  </si>
  <si>
    <t>Beregning av ekspansjonskar for 3-rørs system basert på tappevann</t>
  </si>
  <si>
    <t>Vannmengde</t>
  </si>
  <si>
    <t>Trykk på nettvannet</t>
  </si>
  <si>
    <t>DE trykktank</t>
  </si>
  <si>
    <t>Volumflow</t>
  </si>
  <si>
    <t>Type</t>
  </si>
  <si>
    <t>Trykkreduksjonsventil</t>
  </si>
  <si>
    <t>SYR Trykkred.ventil 315 1/2" 1.5-6.0 Bar 30°C (NRF 5630009)</t>
  </si>
  <si>
    <t>SYR Trykkred.ventil 315 3/4" 1.5-6.0 Bar 30°C (NRF 5630013)</t>
  </si>
  <si>
    <t>For å sikre riktig trykk inn på tappevannsanlegget benyttes en trykkreduksjonsventil ihht EN1567 på vanninntaket til huset/bygningen</t>
  </si>
  <si>
    <t>SYR Trykkred.ventil 315 1" 1.5-6.0 Bar 30°C (NRF 5630016)</t>
  </si>
  <si>
    <t>SYR Trykkred.ventil 315 1 1/4" 1.5-6.0 Bar 30°C(NRF 5630019)</t>
  </si>
  <si>
    <t>Maksimal samtidig vannmengde</t>
  </si>
  <si>
    <r>
      <t>m</t>
    </r>
    <r>
      <rPr>
        <vertAlign val="superscript"/>
        <sz val="10"/>
        <rFont val="Arial"/>
        <family val="2"/>
      </rPr>
      <t>3</t>
    </r>
    <r>
      <rPr>
        <sz val="10"/>
        <rFont val="Arial"/>
        <family val="2"/>
      </rPr>
      <t>/h</t>
    </r>
  </si>
  <si>
    <t>SYR Trykkred.ventil 315 1 1/2" 1.5-6.0 Bar 30°C(NRF 5630023)</t>
  </si>
  <si>
    <t>SYR Trykkred.ventil 315 2" 1.5-6.0 Bar 30°C (NRF 5630026)</t>
  </si>
  <si>
    <t>Ta kontakt med SGP for tilbud</t>
  </si>
  <si>
    <t>DD 2</t>
  </si>
  <si>
    <t>Diameter</t>
  </si>
  <si>
    <t>Høyde</t>
  </si>
  <si>
    <t>Anslutning</t>
  </si>
  <si>
    <t>Standard ladetrykk</t>
  </si>
  <si>
    <t>Vekt</t>
  </si>
  <si>
    <t>DD 8</t>
  </si>
  <si>
    <t>G 3/4</t>
  </si>
  <si>
    <t>1,7</t>
  </si>
  <si>
    <t>DD 12</t>
  </si>
  <si>
    <t>2,0</t>
  </si>
  <si>
    <t>DD 18</t>
  </si>
  <si>
    <t>2,5</t>
  </si>
  <si>
    <t>DD 25</t>
  </si>
  <si>
    <t>3,3</t>
  </si>
  <si>
    <t>DD 33</t>
  </si>
  <si>
    <t>5,8</t>
  </si>
  <si>
    <t>DT 60</t>
  </si>
  <si>
    <t>DT 80</t>
  </si>
  <si>
    <t>G 1 1/4</t>
  </si>
  <si>
    <t>DT 100</t>
  </si>
  <si>
    <t>DT 200</t>
  </si>
  <si>
    <t>DT 300</t>
  </si>
  <si>
    <t>DT 400</t>
  </si>
  <si>
    <t>DT 500</t>
  </si>
  <si>
    <t>DT 600</t>
  </si>
  <si>
    <t>DT 1000</t>
  </si>
  <si>
    <t>DN 50</t>
  </si>
  <si>
    <t>Beregning av ekspansjonskar for berederanlegg</t>
  </si>
  <si>
    <t>DE 2</t>
  </si>
  <si>
    <t>DE 8</t>
  </si>
  <si>
    <t>Test DE2</t>
  </si>
  <si>
    <t>DE 12</t>
  </si>
  <si>
    <t>Reflex membran trykktank med fast membran, type DE 8
Diameter: 206 mm Høyde: 320 mm Vekt: 1,7 kg Trykklasse: PN 10 Anslutning: R 3/4'' Standard ladetrykk: 4 bar</t>
  </si>
  <si>
    <t>DE 18</t>
  </si>
  <si>
    <t>Reflex membran trykktank med fast membran, type DE 12
Diameter: 280 mm Høyde: 293 mm Vekt: 5,9 kg Trykklasse: PN 10 Anslutning: 3/4''</t>
  </si>
  <si>
    <t>DE 25</t>
  </si>
  <si>
    <t>Reflex membran trykktank med fast membran, type DE 18
Diameter: 280 mm Høyde: 370 mm Vekt: 7,5 kg Trykklasse: PN 10 Anslutning: 3/4''</t>
  </si>
  <si>
    <t>DE 33</t>
  </si>
  <si>
    <t>Reflex membran trykktank med utskiftbar membran, type DE 25
Diameter: 280 mm Høyde: 500 mm Vekt: 3,7 kg Trykklasse: PN 10 Anslutning: R3/4.' Standard ladetrykk: 4 bar</t>
  </si>
  <si>
    <t>De 60</t>
  </si>
  <si>
    <t>Reflex membran trykktank med utskiftbar membran, type DE 33
Diameter: 354 mm Høyde: 455 mm Vekt: 8,4 kg Trykklasse: PN 10 Anslutning: R3/4.' Standard ladetrykk: 4 bar</t>
  </si>
  <si>
    <t>DE 80</t>
  </si>
  <si>
    <t>Reflex membran trykktank med utskiftbar membran, type DE 60
Diameter: 409 mm Høyde: 740 mm Vekt: 14 kg Trykklasse: PN 10 Anslutning: R 1'' Standard ladetrykk: 4 bar</t>
  </si>
  <si>
    <t>DE 100</t>
  </si>
  <si>
    <t>Reflex membran trykktank med utskiftbar membran, type DE 80
Diameter: 480 mm Høyde: 740 mm Vekt: 20 kg Trykklasse: PN 10 Anslutning: R 1'' Standard ladetrykk: 4 bar</t>
  </si>
  <si>
    <t>DE 200</t>
  </si>
  <si>
    <t>Reflex membran trykktank med utskiftbar membran, type DE 100
Diameter: 480 mm Høyde: 835 mm Vekt:  25 kg Trykklasse: PN 10 Anslutning: R 1'' Standard ladetrykk: 4 bar</t>
  </si>
  <si>
    <t>DE 300</t>
  </si>
  <si>
    <t xml:space="preserve">Reflex membran trykktank med utskiftbar membran, type DE 200
Diameter: 634 mm Høyde: 970 mm Vekt: 47 kg Trykklasse: PN 10 Anslutning: R 1 1/4''. Standard ladetrykk: 4 bar </t>
  </si>
  <si>
    <t>DE 400</t>
  </si>
  <si>
    <t xml:space="preserve">Reflex membran trykktank med utskiftbar membran, type DE 300
Diameter: 634 mm Høyde: 1270 mm Vekt: 53 kg Trykklasse: PN 10 Anslutning: R 1 1/4''. Standard ladetrykk: 4 bar </t>
  </si>
  <si>
    <t>DE 500</t>
  </si>
  <si>
    <t>Reflex membran trykktank med utskiftbar membran, type DE 400
Diameter: 740 mm Høyde: 1245 mm Vekt: 73 kg Trykklasse: PN 10 Anslutning: R 1 1/4'' Standard ladetrykk: 4 bar</t>
  </si>
  <si>
    <t>DE 600</t>
  </si>
  <si>
    <t>Reflex membran trykktank med utskiftbar membran, type DE 500
Diameter: 740 mm Høyde: 1475 mm Vekt: 79 kg Trykklasse: PN 10 Anslutning: R 1 1/4'' Standard ladetrykk: 4 bar</t>
  </si>
  <si>
    <t>DE 800</t>
  </si>
  <si>
    <t>Reflex membran trykktank med utskiftbar membran, type DE 600
Diameter: 740 mm Høyde: 1860 mm Vekt: 157 kg Trykklasse: PN 10 Anslutning: R 1 1/2'' Standard ladetrykk: 4 bar</t>
  </si>
  <si>
    <t>DE 1000</t>
  </si>
  <si>
    <t>Reflex membran trykktank med utskiftbar membran, type DE 800
Diameter: 740 mm Høyde: 2325 mm Vekt: 197 kg Trykklasse: PN 10 Anslutning: R 1 1/2'' Standard ladetrykk: 4 bar</t>
  </si>
  <si>
    <t>Reflex membran trykktank med utskiftbar membran, type DE 1000
Diameter: 740 mm Høyde: 2604 mm Vekt: 237 kg Trykklasse: PN 10 Anslutning: R 1 1/2'' Standard ladetrykk: 4 bar</t>
  </si>
  <si>
    <t>Beregning av ekspansjonskar til solvarmeanlegg</t>
  </si>
  <si>
    <t>t °C</t>
  </si>
  <si>
    <t>n* %</t>
  </si>
  <si>
    <t>Pd (bar)</t>
  </si>
  <si>
    <t>Antall Solfangere</t>
  </si>
  <si>
    <t>stk</t>
  </si>
  <si>
    <t>Solfangere</t>
  </si>
  <si>
    <t>Væskeinnhold</t>
  </si>
  <si>
    <t>Maks antall i serie</t>
  </si>
  <si>
    <t>Type solfanger</t>
  </si>
  <si>
    <t>CH 250</t>
  </si>
  <si>
    <t>Væskeinnhold per solfanger</t>
  </si>
  <si>
    <t>CH 250 SL</t>
  </si>
  <si>
    <t>Nominelt volum</t>
  </si>
  <si>
    <t>Væskeinnhold solfangere</t>
  </si>
  <si>
    <t>Vk</t>
  </si>
  <si>
    <t>DH 200 SL</t>
  </si>
  <si>
    <t>S 12 Reflex 10 bar trykktank for solvarmeanlegg</t>
  </si>
  <si>
    <t>S 25 Reflex 10 bar ekspansjonskar for solvarmeanlegg</t>
  </si>
  <si>
    <t>Væskeinnhold i øvrige komponenter</t>
  </si>
  <si>
    <t>Pro C250H</t>
  </si>
  <si>
    <t>S 33 Reflex 10 bar trykktank for solvarmeanlegg</t>
  </si>
  <si>
    <t>Totalt væskeinnhold</t>
  </si>
  <si>
    <t>Va</t>
  </si>
  <si>
    <t>Pro C250TB</t>
  </si>
  <si>
    <t>S 50 Reflex 10 bar ekspansjonskar for solvarmeanlegg</t>
  </si>
  <si>
    <t>Pro C250V</t>
  </si>
  <si>
    <t>S 80 Reflex 10 bar ekspansjonskar, 120 gr.C</t>
  </si>
  <si>
    <t>Maks temperatur</t>
  </si>
  <si>
    <t>tv</t>
  </si>
  <si>
    <t>grader</t>
  </si>
  <si>
    <t>Pro D230</t>
  </si>
  <si>
    <t>S 100 Reflex 10 bar trykktank for solvarmeanlegg</t>
  </si>
  <si>
    <t>Minimum temperatur</t>
  </si>
  <si>
    <t>ta</t>
  </si>
  <si>
    <t>S 140 Reflex 10 bar trykktank for solvarmeanlegg</t>
  </si>
  <si>
    <t>Glykol-% blanding</t>
  </si>
  <si>
    <t>S 200 Reflex 10 bar trykktank for solvarmeanlegg</t>
  </si>
  <si>
    <t>S 250 Reflex 10 bar ekspansjonskar for solvarmeanlegg</t>
  </si>
  <si>
    <t>Statisk høyde</t>
  </si>
  <si>
    <t>Pst</t>
  </si>
  <si>
    <t>bar</t>
  </si>
  <si>
    <t>S 300 Reflex 10 bar trykktank for solvarme</t>
  </si>
  <si>
    <t>Differansetrykk sirkulasjonspumpe</t>
  </si>
  <si>
    <t>dPp</t>
  </si>
  <si>
    <t>S 400 Reflex 10 bar trykktank for solvarmeanlegg</t>
  </si>
  <si>
    <t>S 500 Reflex 10 bar ekspansjonskar for solvarmeanlegg</t>
  </si>
  <si>
    <t>Ladetrykk p0</t>
  </si>
  <si>
    <t>P0</t>
  </si>
  <si>
    <t>S 600 Reflex 10 bar ekspansjonskar for solvarmeanlegg</t>
  </si>
  <si>
    <t>Psv</t>
  </si>
  <si>
    <t>Benytt flere kar i parallell</t>
  </si>
  <si>
    <t>Pe (høyeste driftstrykk)</t>
  </si>
  <si>
    <t>Pe</t>
  </si>
  <si>
    <t>Vannsegl</t>
  </si>
  <si>
    <t>Ekpansjonsvolum Ve</t>
  </si>
  <si>
    <t>Ve</t>
  </si>
  <si>
    <t>Nominelt volum ekspansjonskar Vn</t>
  </si>
  <si>
    <t>Vn</t>
  </si>
  <si>
    <t>Anbefalt ekspansjonskar</t>
  </si>
  <si>
    <t>Initelt trykk pi</t>
  </si>
  <si>
    <t>Pe+1</t>
  </si>
  <si>
    <t>(Ve+Vkges)*(Pe+1)*(n + nr)</t>
  </si>
  <si>
    <t>Vn*(P0+1)*2n</t>
  </si>
  <si>
    <t>Sugesiden av pumpen</t>
  </si>
  <si>
    <t>Beregning av ladetrykk og karets størrelse for kar for vannforsyning</t>
  </si>
  <si>
    <t>Trykksiden av pumpen</t>
  </si>
  <si>
    <t>Starttrykk pumpen</t>
  </si>
  <si>
    <t>Montert på trykksiden av pumpen</t>
  </si>
  <si>
    <t>Montert på sugesiden av pumpen</t>
  </si>
  <si>
    <t>Systemtrykk</t>
  </si>
  <si>
    <t>Ladetrykk tank</t>
  </si>
  <si>
    <t>Starttrykk pumpe</t>
  </si>
  <si>
    <t>anbefales ikke</t>
  </si>
  <si>
    <t>Monteringsposisjon</t>
  </si>
  <si>
    <t>Stopptrykk pumpen (over starttrykk)</t>
  </si>
  <si>
    <t>Bar (brukes ikke dersom karet settes på sugesiden av pumpen)</t>
  </si>
  <si>
    <t>Ladetrykk på tanken</t>
  </si>
  <si>
    <t>Forbruk per time</t>
  </si>
  <si>
    <t>Liter / time</t>
  </si>
  <si>
    <t>Pumpekapasitet per time (gjennomsnitt)</t>
  </si>
  <si>
    <t>Ønsket maksimum pumpestart per time</t>
  </si>
  <si>
    <t>Total vannmengde</t>
  </si>
  <si>
    <t>a</t>
  </si>
  <si>
    <t>b</t>
  </si>
  <si>
    <t>c</t>
  </si>
  <si>
    <t>d</t>
  </si>
  <si>
    <t>Sum</t>
  </si>
  <si>
    <t>liter væske i anlegget</t>
  </si>
  <si>
    <r>
      <t xml:space="preserve">a) </t>
    </r>
    <r>
      <rPr>
        <b/>
        <u/>
        <sz val="12"/>
        <rFont val="Arial"/>
        <family val="2"/>
      </rPr>
      <t>Beregning basert på at man kjenner anleggets volum på vannsiden i liter.</t>
    </r>
  </si>
  <si>
    <t>Vanninnhold i:</t>
  </si>
  <si>
    <t>Totalt vanninnhold</t>
  </si>
  <si>
    <t>1) Kjele(r)</t>
  </si>
  <si>
    <t>(fyll inn tabell for kjeler)</t>
  </si>
  <si>
    <t>Vannmegde utom bereder       =</t>
  </si>
  <si>
    <t>2) Rør ( fyll inn tabell for rør)</t>
  </si>
  <si>
    <t>Vannmegde rør                      =</t>
  </si>
  <si>
    <t xml:space="preserve">3) Radiatorer </t>
  </si>
  <si>
    <t>Vannmegde kjel                     =</t>
  </si>
  <si>
    <t>4) Gulvvarmerør</t>
  </si>
  <si>
    <t>6) Andre tanker eller lignende</t>
  </si>
  <si>
    <t>Totalt vannmengde</t>
  </si>
  <si>
    <t>ELLER :</t>
  </si>
  <si>
    <t>Bare den totale vannmengde i anlegget</t>
  </si>
  <si>
    <t>RØRTABELL :</t>
  </si>
  <si>
    <t>Brugmann PE-RT &amp; MKV rør</t>
  </si>
  <si>
    <t>Antall m</t>
  </si>
  <si>
    <t>DN</t>
  </si>
  <si>
    <t>Dim</t>
  </si>
  <si>
    <t>14x2</t>
  </si>
  <si>
    <t>17x2</t>
  </si>
  <si>
    <t>20x2</t>
  </si>
  <si>
    <t>25x2,3</t>
  </si>
  <si>
    <t>Kjeletabell :</t>
  </si>
  <si>
    <t>Kjele nr 1</t>
  </si>
  <si>
    <t>Kjele nr 2</t>
  </si>
  <si>
    <t>Kjele nr 3</t>
  </si>
  <si>
    <t>Kjele nr 4</t>
  </si>
  <si>
    <t>Side 4</t>
  </si>
  <si>
    <r>
      <t xml:space="preserve">b) </t>
    </r>
    <r>
      <rPr>
        <b/>
        <u/>
        <sz val="12"/>
        <rFont val="Arial"/>
        <family val="2"/>
      </rPr>
      <t>Bereging basert på at man kjenner anleggets effekt i kW, gammelt anlegg.</t>
    </r>
  </si>
  <si>
    <t>kW</t>
  </si>
  <si>
    <t>Mcal</t>
  </si>
  <si>
    <t>Heteflate m2</t>
  </si>
  <si>
    <t>Total innfyrt effekt      =</t>
  </si>
  <si>
    <t xml:space="preserve">Kjele nr 1 </t>
  </si>
  <si>
    <t>Totalt</t>
  </si>
  <si>
    <t>Radiatorer, vanninnhold i liter</t>
  </si>
  <si>
    <t>liter/kW</t>
  </si>
  <si>
    <t>Ledninger, vanninnhold i liter</t>
  </si>
  <si>
    <t>Kjele, vanninnhold i liter</t>
  </si>
  <si>
    <t>Tot  vanninhold i varmeanl. i liter</t>
  </si>
  <si>
    <t>Side 5</t>
  </si>
  <si>
    <r>
      <t xml:space="preserve">c) </t>
    </r>
    <r>
      <rPr>
        <b/>
        <u/>
        <sz val="12"/>
        <rFont val="Arial"/>
        <family val="2"/>
      </rPr>
      <t>Bereging basert på at man kjenner anleggets effekt i kW, nytt anlegg.</t>
    </r>
  </si>
  <si>
    <t>Nytt anlegg x 0,8</t>
  </si>
  <si>
    <t>Side 6</t>
  </si>
  <si>
    <r>
      <t xml:space="preserve">d) </t>
    </r>
    <r>
      <rPr>
        <b/>
        <u/>
        <sz val="12"/>
        <rFont val="Arial"/>
        <family val="2"/>
      </rPr>
      <t>Bereging basert på at man kjenner anleggets gammle åpne ekspansjonskar</t>
    </r>
  </si>
  <si>
    <t>Vannvolum:</t>
  </si>
  <si>
    <t>Åpent eksp.kar sylindrisk:</t>
  </si>
  <si>
    <t>Diameter m</t>
  </si>
  <si>
    <t>Høyde m</t>
  </si>
  <si>
    <t>Liter</t>
  </si>
  <si>
    <t>Åpent eksp.kar rektangulært</t>
  </si>
  <si>
    <t>Bredde m</t>
  </si>
  <si>
    <t>Dybde m</t>
  </si>
  <si>
    <t>Liter væske i anlegget</t>
  </si>
  <si>
    <t>Væskeform</t>
  </si>
  <si>
    <t>Grader (middeltemp)</t>
  </si>
  <si>
    <t>C</t>
  </si>
  <si>
    <t>ihht EN12828</t>
  </si>
  <si>
    <t>Ekspansjon</t>
  </si>
  <si>
    <t>regn beregning</t>
  </si>
  <si>
    <t>KilfrostGEO30</t>
  </si>
  <si>
    <t>Sikkerhet blåseventiler</t>
  </si>
  <si>
    <t>Sikkerhet statisk høyde</t>
  </si>
  <si>
    <t>Valgt</t>
  </si>
  <si>
    <t>Blåsetrykk/sikkerhetsventil</t>
  </si>
  <si>
    <t>1 / 2”</t>
  </si>
  <si>
    <t>3 / 4''</t>
  </si>
  <si>
    <t>1”</t>
  </si>
  <si>
    <t>1 ¼”</t>
  </si>
  <si>
    <t>1 1/2''</t>
  </si>
  <si>
    <t>2''</t>
  </si>
  <si>
    <t>1 1/2</t>
  </si>
  <si>
    <t>3 / 4</t>
  </si>
  <si>
    <t>Ekspansjonskarets nytteeffekt:</t>
  </si>
  <si>
    <t>NRF 8405973</t>
  </si>
  <si>
    <t>NRF 8405997</t>
  </si>
  <si>
    <t>Minimum kar-størrelse</t>
  </si>
  <si>
    <t>N 35</t>
  </si>
  <si>
    <t>5 / 4</t>
  </si>
  <si>
    <t>NRF 8405966</t>
  </si>
  <si>
    <t>NRF 8405977</t>
  </si>
  <si>
    <t>NRF 8405995</t>
  </si>
  <si>
    <t>NRF 8405998</t>
  </si>
  <si>
    <t>NRF 8406001</t>
  </si>
  <si>
    <t>NRF 8406003</t>
  </si>
  <si>
    <t>Karstørrelse</t>
  </si>
  <si>
    <t>NRF 8405967</t>
  </si>
  <si>
    <t>NRF 8405974</t>
  </si>
  <si>
    <t>NRF 8405996</t>
  </si>
  <si>
    <t>NRF 8405999</t>
  </si>
  <si>
    <t>NRF 8046002</t>
  </si>
  <si>
    <t>NRF 8406004</t>
  </si>
  <si>
    <t>NRF 8405968</t>
  </si>
  <si>
    <t>NRF 8405978</t>
  </si>
  <si>
    <t>NRF 8405982</t>
  </si>
  <si>
    <t>NRF 8405986</t>
  </si>
  <si>
    <t>NRF 8405988</t>
  </si>
  <si>
    <t>NRF 8405993</t>
  </si>
  <si>
    <t>NRF 8405972</t>
  </si>
  <si>
    <t>NRF 8405983</t>
  </si>
  <si>
    <t>NRF 8405987</t>
  </si>
  <si>
    <t>NRF 8405994</t>
  </si>
  <si>
    <t>Benytt flere 2'' ventiler</t>
  </si>
  <si>
    <t>flere enn 2</t>
  </si>
  <si>
    <t>NRF 8405969</t>
  </si>
  <si>
    <t>NRF 8405981</t>
  </si>
  <si>
    <t>NRF 8405985</t>
  </si>
  <si>
    <t>NRF 8405991</t>
  </si>
  <si>
    <t>NRF 8405992</t>
  </si>
  <si>
    <t>Valgt kapasitet ift trykk</t>
  </si>
  <si>
    <t>DE 60</t>
  </si>
  <si>
    <t>Kjel 1</t>
  </si>
  <si>
    <t>Kjel 2</t>
  </si>
  <si>
    <t>Kjel 3</t>
  </si>
  <si>
    <t>Kjel 4</t>
  </si>
  <si>
    <t>N 1000</t>
  </si>
  <si>
    <t>REFLEX trykkekspansjonskar type N 1000 / 1,5 dia 740 mm, høyde 2430 mm, vekt 120,0 kg.
NRF nr. 840 05 49</t>
  </si>
  <si>
    <t>1</t>
  </si>
  <si>
    <t>Antall</t>
  </si>
  <si>
    <t>Sikkerhetsventil</t>
  </si>
  <si>
    <t>Kapasitet</t>
  </si>
  <si>
    <t>N 12</t>
  </si>
  <si>
    <t>REFLEX trykkekspansjonskar type N 12 / 1,5 dia 272 mm, høyde 315 mm, vekt 2,6kg. 
NRF nr. 840 06 58</t>
  </si>
  <si>
    <t>N 18</t>
  </si>
  <si>
    <t>REFLEX trykkekspansjonskar type N 18 / 1,5 dia 308 mm, høyde 360 mm, vekt 3,5 kg. 
NRF nr. 840 06 63</t>
  </si>
  <si>
    <t>N 200</t>
  </si>
  <si>
    <t>REFLEX trykkekspansjonskar type N 200 / 1,5 dia 634 mm, høyde 785 mm, vekt 36,7 kg. 
NRF nr. 840 0694</t>
  </si>
  <si>
    <t>N 25</t>
  </si>
  <si>
    <t>REFLEX trykkekspansjonskar type N 25 / 1,5 dia 308 mm, høyde 480 mm, vekt 4,6 kg. 
NRF nr. 840 06 67</t>
  </si>
  <si>
    <t>N 250</t>
  </si>
  <si>
    <t>REFLEX trykkekspansjonskar type N 250 / 1,5 dia 634 mm, høyde 915 mm, vekt 45,0 kg. 
NRF nr. 840 06 98</t>
  </si>
  <si>
    <t>N 300</t>
  </si>
  <si>
    <t>REFLEX trykkekspansjonskar type N 300 / 1,5 dia 634 mm, høyde 1085 mm, vekt 52.0 kg. 
NRF nr. 840 07 12</t>
  </si>
  <si>
    <t>REFLEX trykkekspansjonskar type N 35 / 1,5 dia 376 mm, høyde 465 mm, vekt 5,4 kg. Karet står på ben. 
NRF nr. 840 06 72</t>
  </si>
  <si>
    <t>N 400</t>
  </si>
  <si>
    <t>REFLEX trykkekspansjonskar type N 400 / 1,5 dia 740 mm, høyde 1075 mm, vekt 65,0 kg. 
NRF nr. 840 07 12</t>
  </si>
  <si>
    <t>N 500</t>
  </si>
  <si>
    <t>REFLEX trykkekspansjonskar type N 500 / 1,5 dia 740 mm, høyde 1295 mm, vekt 79,0 kg. 
NRF nr. 840 07 14</t>
  </si>
  <si>
    <t>N 600</t>
  </si>
  <si>
    <t>REFLEX trykkekspansjonskar type N 600 / 1,5 dia 740 mm, høyde 1530 mm, vekt 85,0 kg. 
NRF nr. 840 07 16</t>
  </si>
  <si>
    <t>Styrekar ifm Variomat</t>
  </si>
  <si>
    <t>N 8</t>
  </si>
  <si>
    <t>REFLEX trykkekspansjonskar type N 8 / 1,5 dia 272 mm, høyde 233 mm, vekt 1,9 kg. 
NRF nr. 840 06 54</t>
  </si>
  <si>
    <t>N 800</t>
  </si>
  <si>
    <t>REFLEX trykkekspansjonskar type N 800 / 1,5 dia 740 mm, høyde 1990 mm, vekt 103,0 kg.
NRF nr. 840 05 48</t>
  </si>
  <si>
    <t>NG 100</t>
  </si>
  <si>
    <t>REFLEX trykkekspansjonskar type NG 100 / 1,5 dia 480 mm, høyde 670 mm, vekt 20,5 kg. 
NRF nr. 840 06 85</t>
  </si>
  <si>
    <t>NG 140</t>
  </si>
  <si>
    <t>REFLEX trykkekspansjonskar type NG 140 / 1,5 dia 480 mm, høyde 912 mm, vekt 28,6 kg. 
NRF nr. 840 06 89</t>
  </si>
  <si>
    <t>NG 50</t>
  </si>
  <si>
    <t>REFLEX trykkekspansjonskar type N 50 / 1,5 dia 480 mm, høyde 495 mm, vekt 12,5 kg. 
NRF nr. 840 06 76</t>
  </si>
  <si>
    <t>NG 80</t>
  </si>
  <si>
    <t>REFLEX trykkekspansjonskar type NG 80/ 1,5 dia 480mm, høyde 565 mm, vekt 17,0 kg. 
NRF nr. 840 06 81</t>
  </si>
  <si>
    <t>Reflexomat 1000</t>
  </si>
  <si>
    <t>REFLEXOMAT ekspansjonskar, type RG  1000, komplett for vertikal montasje og med utskiftbar membran.
Dimensjoner:
volum         1000 liter
diameter     1000 mm
høyde        2025 mm
vekt             308 kg
driftstemp.  110oC
anslutning    DN 65”
maks arbeidstrykk 6 bar</t>
  </si>
  <si>
    <t>Variomat 1000</t>
  </si>
  <si>
    <t>Variomat ekspansjonskar, type VG  1000, komplett for vertikal montasje og med utskiftbar membran.
Dimensjoner:
volum         1000 liter
diameter     1000 mm (finnes i Ø740 versjon)
høyde        2130 mm
vekt             292 kg
anslutning    G1''</t>
  </si>
  <si>
    <t>Reflexomat 1500</t>
  </si>
  <si>
    <t>REFLEXOMAT  kompressorstyrt ekspansjonskar  type RG 1500, komplett for vertikal montasje og med utskiftbar membran.
Dimensjoner: 
volum 1500 liter
diameter 1200 mm
høyde 2025 mm
vekt 465 kg
driftstemp. 110oC
anslutning DN 65
maks arbeidstrykk 6 bar</t>
  </si>
  <si>
    <t>Variomat 1500</t>
  </si>
  <si>
    <t>Variomat  kompressorstyrt ekspansjonskar  type VG 1500, komplett for vertikal montasje og med utskiftbar membran.
Dimensjoner: 
volum 1500 liter
diameter 1200 mm
høyde 2130 mm
vekt 320 kg
anslutning G1''</t>
  </si>
  <si>
    <t>Reflexomat 200</t>
  </si>
  <si>
    <t>REFLEXOMAT ekspansjonskar, type RG  200, komplett for vertikal montasje og med utskiftbar membran.
NRF nr. 840 05 51
Dimensjoner:
volum         200 liter
diameter     634 mm
høyde        1480 mm
vekt             58 kg
driftstemp.  110oC
anslutning    R1”</t>
  </si>
  <si>
    <t>Variomat 200</t>
  </si>
  <si>
    <t>Variomat ekspansjonskar, type VG  200, komplett for vertikal montasje og med utskiftbar membran.
Dimensjoner:
volum         200 liter
diameter     634 mm
høyde        1060 mm
vekt             41,4 kg
anslutning    G1''</t>
  </si>
  <si>
    <t>Reflexomat 2000</t>
  </si>
  <si>
    <t>REFLEXOMAT ekspansjonskar, type RG  2000, komplett for vertikal montasje og med utskiftbar membran.
Dimensjoner:
volum         2000 liter
diameter     1200 mm
høyde        2480 mm
vekt             656 kg
driftstemp.  110oC
anslutning    DN 65”
maks arbeidstrykk 6 bar</t>
  </si>
  <si>
    <t>Variomat 2000</t>
  </si>
  <si>
    <t>Variomat ekspansjonskar, type VG  2000, komplett for vertikal montasje og med utskiftbar membran.
Dimensjoner:
volum         2000 liter
diameter     1200 mm
høyde        2590 mm
vekt             656 kg
anslutning    G1''</t>
  </si>
  <si>
    <t>Reflexomat 300</t>
  </si>
  <si>
    <t>REFLEXOMAT ekspansjonskar, type RG  300, komplett for vertikal montasje og med utskiftbar membran.
NRF nr. 840 05 52
Dimensjoner:
volum         300 liter
diameter     634 mm
høyde        1780 mm
vekt             75 kg
driftstemp.  110oC
anslutning    R1”</t>
  </si>
  <si>
    <t>Variomat 300</t>
  </si>
  <si>
    <t>Variomat ekspansjonskar, type VG  300, komplett for vertikal montasje og med utskiftbar membran.
Dimensjoner:
volum         300 liter
diameter     634 mm
høyde        1360 mm
vekt             52 kg
anslutning    G1”</t>
  </si>
  <si>
    <t>Reflexomat 3000</t>
  </si>
  <si>
    <t>REFLEXOMAT kompressorstyrt ekspansjonskar type RG 3000, komplett for vertikal montasje og med utskiftbar membran.
Dimensjoner: 
volum 3000 liter
diameter 1500 mm
høyde 2480 mm
vekt 795 kg
driftstemp. 110oC
anslutning DN 65
maks arbeidstrykk 6 bar</t>
  </si>
  <si>
    <t>Variomat 3000</t>
  </si>
  <si>
    <t>Variomat kompressorstyrt ekspansjonskar type VG 3000, komplett for vertikal montasje og med utskiftbar membran.
Dimensjoner: 
volum 3000 liter
diameter 1500 mm
høyde 2590 mm
vekt 795 kg
anslutning G1''</t>
  </si>
  <si>
    <t>Reflexomat 400</t>
  </si>
  <si>
    <t>REFLEXOMAT ekspansjonskar, type RG  400, komplett for vertikal montasje og med utskiftbar membran.
NRF nr. 840 05 53
Dimensjoner:
volum         400 liter
diameter     740 mm
høyde        1764 mm
vekt             86 kg
driftstemp.  110oC
anslutning    R1”</t>
  </si>
  <si>
    <t>Variomat 400</t>
  </si>
  <si>
    <t>Variomat ekspansjonskar, type VG  400, komplett for vertikal montasje og med utskiftbar membran.
Dimensjoner:
volum         400 liter
diameter     740 mm
høyde        1345 mm
vekt             72 kg
anslutning    G1”</t>
  </si>
  <si>
    <t>Reflexomat 4000</t>
  </si>
  <si>
    <t>REFLEXOMAT kompressorstyrt ekspansjonskar type RG 4000, komplett for vertikal montasje og med utskiftbar membran.
Dimensjoner: 
volum 4000 liter
diameter 1500 mm
høyde 3050 mm
vekt 1080 kg
driftstemp. 90oC
anslutning DN 65
maks arbeidstrykk 6 bar</t>
  </si>
  <si>
    <t>Variomat 4000</t>
  </si>
  <si>
    <t>Variomat kompressorstyrt ekspansjonskar type VG 4000, komplett for vertikal montasje og med utskiftbar membran.
Dimensjoner: 
volum 4000 liter
diameter 1500 mm
høyde 3160 mm
vekt 1080 kg
anslutning G1''</t>
  </si>
  <si>
    <t>Reflexomat 500</t>
  </si>
  <si>
    <t>REFLEXOMAT ekspansjonskar, type RG  500, komplett for vertikal montasje og med utskiftbar membran.
NRF nr. 840 05 54
Dimensjoner:
volum         500 liter
diameter     740 mm
høyde        1985 mm
vekt             99 kg
driftstemp.  110oC
anslutning    R1”</t>
  </si>
  <si>
    <t>Variomat 500</t>
  </si>
  <si>
    <t>Variomat ekspansjonskar, type VG  500, komplett for vertikal montasje og med utskiftbar membran.
Dimensjoner:
volum         500 liter
diameter     740 mm
høyde        1560 mm
vekt             82 kg
anslutning    G1”</t>
  </si>
  <si>
    <t>Reflexomat 5000</t>
  </si>
  <si>
    <t>REFLEXOMAT kompressorstyrt ekspansjonskar type RG 5000, komplett for vertikal montasje og med utskiftbar membran.
Dimensjoner: 
volum 5000 liter
diameter 1500 mm
høyde 3590 mm
vekt 1115 kg
driftstemp. 110oC
anslutning DN 65
maks arbeidstrykk 6 bar</t>
  </si>
  <si>
    <t>Variomat 5000</t>
  </si>
  <si>
    <t>Variomat kompressorstyrt ekspansjonskar type VG 5000, komplett for vertikal montasje og med utskiftbar membran.
Dimensjoner: 
volum 5000 liter
diameter 1500 mm
høyde 3695 mm
vekt 1115 kg
anslutning G1''</t>
  </si>
  <si>
    <t>Reflexomat 600</t>
  </si>
  <si>
    <t>REFLEXOMAT ekspansjonskar, type RG  600, komplett for vertikal montasje og med utskiftbar membran.
NRF nr. 840 05 55
Dimensjoner:
volum         600 liter
diameter     740 mm
høyde        2204 mm
vekt             115 kg
driftstemp.  110oC
anslutning    R1”</t>
  </si>
  <si>
    <t>Variomat 600</t>
  </si>
  <si>
    <t>Variomat ekspansjonskar, type VG  600, komplett for vertikal montasje og med utskiftbar membran.
Dimensjoner:
volum         600 liter
diameter     740 mm
høyde        1810 mm
vekt             97 kg
anslutning    G1”</t>
  </si>
  <si>
    <t>Reflexomat 800</t>
  </si>
  <si>
    <t>REFLEXOMAT ekspansjonskar, type RG  800, komplett for vertikal montasje og med utskiftbar membran.
NRF nr. 840 05 56
Dimensjoner:
volum         800 liter
diameter     740 mm
høyde        2654 mm
vekt             177 kg
driftstemp.  110oC
anslutning    R1”</t>
  </si>
  <si>
    <t>Variomat 800</t>
  </si>
  <si>
    <t>Variomat ekspansjonskar, type VG  800, komplett for vertikal montasje og med utskiftbar membran.
Dimensjoner:
volum         800 liter
diameter     740 mm
høyde        2275 mm
vekt             110 kg
anslutning    G1”</t>
  </si>
  <si>
    <t>Ta kontakt med SGP</t>
  </si>
  <si>
    <t>Kompressor RS150</t>
  </si>
  <si>
    <t>RS 150/1 Styreenhet med en kompressor for montert på  tank. 
* sikkerhetsventil 3/8'' - 6.0 bar for luftsiden
* hydraulisk/elektronisk vektcelle for vanninnhold.
* styreenheten leveres med potensialfrie kontakter for overføring av felles feilsignal for ''lavt'' og 'høyt'' vann-nivå i tank samt ''kompressorfeil'', videre med konstant digital visning av systemtrykk i bar og vannivå i % uttak for eventuell senere tilkobling av automatisk vannpåfylling</t>
  </si>
  <si>
    <t>VS1</t>
  </si>
  <si>
    <t>Styreautomatikk med en pumpe for plassering ved siden av tank, med potensialfrie kontakter for overføring  av felles feilsignal for "lavt" og "høyt" vannivå i tank samt "pumpefeill", videre med konstant digital visning av systemtrykk i bar og vannivå i %
·hydraulisk/elektronisk vektcelle for vanninnhold.
·uttak for eventuell senere tilkobling av automatisk vannpåfylling.
Maks. 10 bar arbeidstrykk.</t>
  </si>
  <si>
    <t>Kompressor RS300</t>
  </si>
  <si>
    <t>RS 300/1 Styreenhet med en kompressor. Styreenheten plasseres på tank, kompressor på gulv. 
* sikkerhetsventil 3/8'' - 6.0 bar for luftsiden
* hydraulisk/elektronisk vektcelle for vanninnhold.
* styreenheten leveres med potensialfrie kontakter for overføring av felles feilsignal for  ''lavt'' og  
''høyt'' vann-nivå i tank samt ''kompressorfeil'', videre med konstant digital visning av systemtrykk i bar og vannivå i %
* uttak for eventuell senere tilkobling av automatisk vannpåfylling</t>
  </si>
  <si>
    <t>VS1-1/140</t>
  </si>
  <si>
    <t>Styreautomatikk med "soft start" og to pumper for plassering ved siden av tank, med potensialfrie kontakter for overføring  av felles feilsignal for "lavt" og "høyt" vannivå i tank samt "pumpefeill", videre med konstant digital visning av systemtrykk i bar og vannivå i %. Hydraulisk/elektronisk vektcelle for vanninnhold. Uttak for eventuell senere tilkobling av automatisk vannpåfylling.
Hydraulikkdelen består av to pumper, regulering- og ovestrømsventiler samt tilkobling for vannpåfylling. Sertifiseringstrykk 16 bar.</t>
  </si>
  <si>
    <t>Kompressor RS400</t>
  </si>
  <si>
    <t>RS 400/1 Styreenhet med en kompressor. Styreenheten plasseres på tank, kompressor på gulv. 
* sikkerhetsventil 3/8'' - 6.0 bar for luftsiden
* hydraulisk/elektronisk vektcelle for vanninnhold.
* styreenheten leveres med potensialfrie kontakter for overføring av felles feilsignal for  ''lavt'' og  
''høyt'' vann-nivå i tank samt ''kompressorfeil'', videre med konstant digital visning av systemtrykk i bar og vannivå i %
* uttak for eventuell senere tilkobling av automatisk vannpåfylling</t>
  </si>
  <si>
    <t>VS1-2/140</t>
  </si>
  <si>
    <t>Kompressor RS580</t>
  </si>
  <si>
    <t>RS 580/1 Styreenhet med en kompressor. Styreenheten plasseres på tank, kompressor på gulv. 
* sikkerhetsventil 3/8'' - 6.0 bar for luftsiden
* hydraulisk/elektronisk vektcelle for vanninnhold.
* styreenheten leveres med potensialfrie kontakter for overføring av felles feilsignal for  ''lavt'' og  
''høyt'' vann-nivå i tank samt ''kompressorfeil'', videre med konstant digital visning av systemtrykk i bar og vannivå i %
* uttak for eventuell senere tilkobling av automatisk vannpåfylling</t>
  </si>
  <si>
    <t>VS2-1/60</t>
  </si>
  <si>
    <t>Styreautomatikk med pumpe for plassering ved 
siden av tank, med potensialfrie kontakter for 
overføring  av felles feilsignal for "lavt" og "høyt" 
vannivå i tank samt "pumpefeill", videre med 
konstant digital visning av systemtrykk i bar og 
vannivå i %
·hydraulisk/elektronisk vektcelle for vanninnhold.
·uttak for eventuell senere tilkobling av automatisk 
vannpåfylling</t>
  </si>
  <si>
    <t>Kompressor RS90</t>
  </si>
  <si>
    <t>RS 90/1 styreenhet med en kompressor påmontert på tank. 
* sikkerhetsventil 3/8'' - 6.0 bar for luftsiden
* hydraulisk/elektronisk vektcelle for vanninnhold.
* styreenheten leveres med potensialfrie kontakter for overføring av felles feilsignal for ''lavt'' og  ''høyt'' vann-nivå i tank samt ''kompressorfeil'', videre med konstant digital visning av systemtrykk i bar og vannivå i %
Uttak for eventuell senere tilkobling av automatisk vannpåfylling</t>
  </si>
  <si>
    <t>VS2-1/75</t>
  </si>
  <si>
    <t>Styreautomatikk med softstart og en pumpe for plassering ved siden av tank, med potensialfrie kontakter for overføring  av felles feilsignal for "lavt" og "høyt" vannivå i tank samt "pumpefeill", videre med konstant digital visning av systemtrykk i bar og vannivå i %
·hydraulisk/elektronisk vektcelle for vanninnhold.
·uttak for eventuell senere tilkobling av automatisk vannpåfylling.
Pumpemotor 1.1 kW, 1-fas 230V.</t>
  </si>
  <si>
    <t>VS2-1/95</t>
  </si>
  <si>
    <t>Styreautomatikk med pumpe for plassering ved siden av tank, med potensialfrie kontakter for overføring  av felles feilsignal for "lavt" og "høyt" vannivå i tank samt "pumpefeill", videre med konstant digital visning av systemtrykk i bar og vannivå i %
·hydraulisk/elektronisk vektcelle for vanninnhold.
·uttak for eventuell senere tilkobling av automatisk vannpåfylling</t>
  </si>
  <si>
    <t>VS2-2/35</t>
  </si>
  <si>
    <t>Styreautomatikk med to pumper for plassering ved 
siden av tank, med potensialfrie kontakter for 
overføring  av felles feilsignal for "lavt" og "høyt" 
vannivå i tank samt "pumpefeill", videre med 
konstant digital visning av systemtrykk i bar og 
vannivå i %
·hydraulisk/elektronisk vektcelle for vanninnhold.
·uttak for eventuell senere tilkobling av automatisk 
vannpåfylling.
Maks. arbeidstrykk:10 bar</t>
  </si>
  <si>
    <t>1'' serviceventil for ekspansjonskar med avtapping. NRF nr. 840 08 16</t>
  </si>
  <si>
    <t>VS2-2/60</t>
  </si>
  <si>
    <t>3 / 4 '' serviceventil for ekspansjonskar med avtapping. NRF nr. 840 08 15</t>
  </si>
  <si>
    <t>VS2-2/75</t>
  </si>
  <si>
    <t>Styreautomatikk med to pumper og dynamiske 
motorventiler for plassering ved siden av tank, med potensialfrie kontakter for overføring  av felles feilsignal for "lavt" og "høyt" vannivå i tank samt "pumpefeill", videre med konstant digital visning av systemtrykk i bar og vannivå i %
·hydraulisk/elektronisk vektcelle for vanninnhold.
·uttak for eventuell senere tilkobling av automatisk vannpåfylling</t>
  </si>
  <si>
    <t>VS2-2/75S</t>
  </si>
  <si>
    <t>VS2-2/95</t>
  </si>
  <si>
    <t>Styreautomatikk med "soft start" og to pumper for plassering ved siden av tank, med potensialfrie kontakter for overføring  av felles feilsignal for "lavt" og "høyt" vannivå i tank samt "pumpefeill", videre med konstant digital visning av systemtrykk i bar og vannivå i %. Hydraulisk/elektronisk vektcelle for vanninnhold. Uttak for eventuell senere tilkobling av automatisk vannpåfylling.
Hydraulikkdelen består av to pumper- 2,2kW, 1x230V, regulering- og ovestrømsventiler samt tilkobling for vannpåfylling. 
H=800, B=700, D=780mm.</t>
  </si>
  <si>
    <t>VS2-2/95S</t>
  </si>
  <si>
    <t>Beregning av kompressorkar</t>
  </si>
  <si>
    <t>Regneteknisk</t>
  </si>
  <si>
    <t>l/hkW</t>
  </si>
  <si>
    <t>Liter per time per kW</t>
  </si>
  <si>
    <t>Trykk (hst)</t>
  </si>
  <si>
    <t>Liter i anlegget</t>
  </si>
  <si>
    <t>Valgt kompressor</t>
  </si>
  <si>
    <t>Kapasitet kompressor</t>
  </si>
  <si>
    <t>l/min</t>
  </si>
  <si>
    <t>Krav liter per minutt</t>
  </si>
  <si>
    <t>lineær modell</t>
  </si>
  <si>
    <t>Kompressortrykk</t>
  </si>
  <si>
    <t>VS90</t>
  </si>
  <si>
    <t>x</t>
  </si>
  <si>
    <t>y</t>
  </si>
  <si>
    <t>VS150</t>
  </si>
  <si>
    <t>VS300</t>
  </si>
  <si>
    <t>VS400</t>
  </si>
  <si>
    <t>VS580</t>
  </si>
  <si>
    <t>vann</t>
  </si>
  <si>
    <t>Kilfrost nullpunkt</t>
  </si>
  <si>
    <t>Installert kjeleeffekt</t>
  </si>
  <si>
    <t>Po</t>
  </si>
  <si>
    <t>Kar</t>
  </si>
  <si>
    <t>Beregning av riktig pumpe-enhet</t>
  </si>
  <si>
    <t>Pobar</t>
  </si>
  <si>
    <t>Prioritet</t>
  </si>
  <si>
    <t>Maks effekt</t>
  </si>
  <si>
    <t>Max Po</t>
  </si>
  <si>
    <t>0-punkt Po bar</t>
  </si>
  <si>
    <t>0-punkt MW</t>
  </si>
  <si>
    <t>Po bar</t>
  </si>
  <si>
    <t>Effektkalkulasjon</t>
  </si>
  <si>
    <t>Trykk-kalkulasjon</t>
  </si>
  <si>
    <t>Ekspansjonsbeholder</t>
  </si>
  <si>
    <t/>
  </si>
  <si>
    <t>Reflexomat XS</t>
  </si>
  <si>
    <t>REFLEXOMAT XS ekspansjonskar, komplett for vertikal montasje og med utskiftbar membran.
Dimensjoner:
volum         80 liter
diameter     480 mm
høyde        1035 mm
vekt             28 kg
driftstemp.  110oC
anslutning    R1”</t>
  </si>
  <si>
    <t>Kompressor RS90/2</t>
  </si>
  <si>
    <t>Kompressor RS150/2</t>
  </si>
  <si>
    <t>Kompressor RS300/2</t>
  </si>
  <si>
    <t>Kompressor RS400/2</t>
  </si>
  <si>
    <t>Kompressor RS580/2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</si>
</sst>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 #,##0.00_ ;_ * \-#,##0.00_ ;_ * &quot;-&quot;??_ ;_ @_ "/>
    <numFmt numFmtId="164" formatCode="_(* #,##0.00_);_(* \(#,##0.00\);_(* &quot;-&quot;??_);_(@_)"/>
    <numFmt numFmtId="165" formatCode="0.0"/>
    <numFmt numFmtId="166" formatCode="0.0\ %"/>
    <numFmt numFmtId="167" formatCode="_(* #,##0_);_(* \(#,##0\);_(* &quot;-&quot;??_);_(@_)"/>
    <numFmt numFmtId="168" formatCode="_ * #,##0.0_ ;_ * \-#,##0.0_ ;_ * &quot;-&quot;??_ ;_ @_ "/>
    <numFmt numFmtId="169" formatCode="_ * #,##0_ ;_ * \-#,##0_ ;_ * &quot;-&quot;??_ ;_ @_ "/>
    <numFmt numFmtId="170" formatCode="_-* #,##0.0_-;\-* #,##0.0_-;_-* &quot;-&quot;?_-;_-@_-"/>
  </numFmts>
  <fonts count="27">
    <font>
      <sz val="10"/>
      <name val="Arial"/>
    </font>
    <font>
      <b/>
      <sz val="10"/>
      <name val="Arial"/>
      <family val="2"/>
    </font>
    <font>
      <sz val="10"/>
      <name val="Arial"/>
      <family val="2"/>
    </font>
    <font>
      <b/>
      <u/>
      <sz val="18"/>
      <name val="Arial"/>
      <family val="2"/>
    </font>
    <font>
      <b/>
      <u/>
      <sz val="10"/>
      <name val="Arial"/>
      <family val="2"/>
    </font>
    <font>
      <b/>
      <u/>
      <sz val="12"/>
      <name val="Arial"/>
      <family val="2"/>
    </font>
    <font>
      <b/>
      <sz val="11"/>
      <name val="Arial"/>
      <family val="2"/>
    </font>
    <font>
      <u/>
      <sz val="10"/>
      <name val="Arial"/>
      <family val="2"/>
    </font>
    <font>
      <b/>
      <sz val="12"/>
      <name val="Arial"/>
      <family val="2"/>
    </font>
    <font>
      <sz val="12"/>
      <name val="Arial"/>
      <family val="2"/>
    </font>
    <font>
      <b/>
      <u val="double"/>
      <sz val="10"/>
      <name val="Arial"/>
      <family val="2"/>
    </font>
    <font>
      <sz val="10"/>
      <color indexed="8"/>
      <name val="Arial"/>
      <family val="2"/>
    </font>
    <font>
      <sz val="8"/>
      <color indexed="81"/>
      <name val="Tahoma"/>
      <family val="2"/>
    </font>
    <font>
      <b/>
      <sz val="14"/>
      <name val="Arial"/>
      <family val="2"/>
    </font>
    <font>
      <sz val="10"/>
      <color indexed="22"/>
      <name val="Arial"/>
      <family val="2"/>
    </font>
    <font>
      <b/>
      <sz val="8"/>
      <color indexed="81"/>
      <name val="Tahoma"/>
      <family val="2"/>
    </font>
    <font>
      <sz val="9"/>
      <color indexed="81"/>
      <name val="Tahoma"/>
      <family val="2"/>
    </font>
    <font>
      <b/>
      <sz val="9"/>
      <color indexed="81"/>
      <name val="Tahoma"/>
      <family val="2"/>
    </font>
    <font>
      <sz val="10"/>
      <color theme="0" tint="-0.249977111117893"/>
      <name val="Arial"/>
      <family val="2"/>
    </font>
    <font>
      <sz val="10"/>
      <color theme="0"/>
      <name val="Arial"/>
      <family val="2"/>
    </font>
    <font>
      <sz val="10"/>
      <color theme="0" tint="-0.14999847407452621"/>
      <name val="Arial"/>
      <family val="2"/>
    </font>
    <font>
      <sz val="10"/>
      <color rgb="FFFF0000"/>
      <name val="Arial"/>
      <family val="2"/>
    </font>
    <font>
      <vertAlign val="superscript"/>
      <sz val="10"/>
      <name val="Arial"/>
      <family val="2"/>
    </font>
    <font>
      <sz val="9"/>
      <color rgb="FF242021"/>
      <name val="ArialMT"/>
    </font>
    <font>
      <sz val="9"/>
      <color indexed="81"/>
      <name val="Tahoma"/>
      <charset val="1"/>
    </font>
    <font>
      <b/>
      <sz val="9"/>
      <color indexed="81"/>
      <name val="Tahoma"/>
      <charset val="1"/>
    </font>
    <font>
      <sz val="10"/>
      <color theme="0" tint="-0.499984740745262"/>
      <name val="Arial"/>
      <family val="2"/>
    </font>
  </fonts>
  <fills count="10">
    <fill>
      <patternFill patternType="none"/>
    </fill>
    <fill>
      <patternFill patternType="gray125"/>
    </fill>
    <fill>
      <patternFill patternType="solid">
        <fgColor indexed="13"/>
        <bgColor indexed="64"/>
      </patternFill>
    </fill>
    <fill>
      <patternFill patternType="solid">
        <fgColor indexed="14"/>
        <bgColor indexed="64"/>
      </patternFill>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20">
    <border>
      <left/>
      <right/>
      <top/>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2"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cellStyleXfs>
  <cellXfs count="226">
    <xf numFmtId="0" fontId="0" fillId="0" borderId="0" xfId="0"/>
    <xf numFmtId="0" fontId="0" fillId="0" borderId="0" xfId="0" applyAlignment="1">
      <alignment horizontal="center"/>
    </xf>
    <xf numFmtId="0" fontId="3" fillId="0" borderId="0" xfId="0" applyFont="1"/>
    <xf numFmtId="0" fontId="4" fillId="0" borderId="0" xfId="0" applyFont="1"/>
    <xf numFmtId="0" fontId="1" fillId="0" borderId="0" xfId="0" applyFont="1"/>
    <xf numFmtId="0" fontId="6" fillId="0" borderId="0" xfId="0" applyFont="1"/>
    <xf numFmtId="9" fontId="0" fillId="0" borderId="0" xfId="0" applyNumberFormat="1" applyAlignment="1">
      <alignment horizontal="center"/>
    </xf>
    <xf numFmtId="1" fontId="0" fillId="0" borderId="0" xfId="0" applyNumberFormat="1"/>
    <xf numFmtId="166" fontId="2" fillId="0" borderId="0" xfId="2" applyNumberFormat="1"/>
    <xf numFmtId="1" fontId="2" fillId="0" borderId="0" xfId="0" applyNumberFormat="1" applyFont="1"/>
    <xf numFmtId="166" fontId="1" fillId="0" borderId="0" xfId="2" applyNumberFormat="1" applyFont="1"/>
    <xf numFmtId="0" fontId="8" fillId="0" borderId="0" xfId="0" applyFont="1"/>
    <xf numFmtId="0" fontId="9" fillId="0" borderId="0" xfId="0" applyFont="1"/>
    <xf numFmtId="0" fontId="7" fillId="0" borderId="0" xfId="0" applyFont="1"/>
    <xf numFmtId="0" fontId="2" fillId="0" borderId="0" xfId="0" applyFont="1"/>
    <xf numFmtId="0" fontId="0" fillId="0" borderId="0" xfId="0" applyAlignment="1">
      <alignment horizontal="left"/>
    </xf>
    <xf numFmtId="1" fontId="4" fillId="0" borderId="0" xfId="0" applyNumberFormat="1" applyFont="1"/>
    <xf numFmtId="9" fontId="0" fillId="0" borderId="0" xfId="0" applyNumberFormat="1"/>
    <xf numFmtId="10" fontId="2" fillId="0" borderId="0" xfId="2" applyNumberFormat="1" applyAlignment="1">
      <alignment horizontal="center"/>
    </xf>
    <xf numFmtId="10" fontId="2" fillId="0" borderId="0" xfId="2" applyNumberFormat="1"/>
    <xf numFmtId="165" fontId="0" fillId="0" borderId="0" xfId="0" applyNumberFormat="1"/>
    <xf numFmtId="3" fontId="0" fillId="0" borderId="0" xfId="0" applyNumberFormat="1"/>
    <xf numFmtId="0" fontId="1" fillId="0" borderId="0" xfId="0" applyFont="1" applyAlignment="1">
      <alignment vertical="center"/>
    </xf>
    <xf numFmtId="0" fontId="0" fillId="0" borderId="0" xfId="0" applyAlignment="1">
      <alignment vertical="center"/>
    </xf>
    <xf numFmtId="1" fontId="10" fillId="0" borderId="1" xfId="0" applyNumberFormat="1" applyFont="1" applyBorder="1" applyAlignment="1">
      <alignment vertical="center"/>
    </xf>
    <xf numFmtId="10" fontId="0" fillId="0" borderId="0" xfId="2" applyNumberFormat="1" applyFont="1"/>
    <xf numFmtId="10" fontId="11" fillId="0" borderId="0" xfId="2" applyNumberFormat="1" applyFont="1" applyAlignment="1">
      <alignment vertical="top" wrapText="1"/>
    </xf>
    <xf numFmtId="0" fontId="0" fillId="2" borderId="0" xfId="0" applyFill="1"/>
    <xf numFmtId="164" fontId="2" fillId="0" borderId="0" xfId="3"/>
    <xf numFmtId="164" fontId="0" fillId="0" borderId="0" xfId="0" applyNumberFormat="1"/>
    <xf numFmtId="0" fontId="0" fillId="0" borderId="0" xfId="0" applyAlignment="1">
      <alignment horizontal="right"/>
    </xf>
    <xf numFmtId="167" fontId="2" fillId="0" borderId="0" xfId="3" applyNumberFormat="1"/>
    <xf numFmtId="167" fontId="0" fillId="0" borderId="0" xfId="0" applyNumberFormat="1"/>
    <xf numFmtId="167" fontId="2" fillId="0" borderId="0" xfId="3" applyNumberFormat="1" applyFill="1"/>
    <xf numFmtId="0" fontId="0" fillId="3" borderId="0" xfId="0" applyFill="1"/>
    <xf numFmtId="167" fontId="0" fillId="3" borderId="0" xfId="0" applyNumberFormat="1" applyFill="1"/>
    <xf numFmtId="169" fontId="0" fillId="0" borderId="0" xfId="0" applyNumberFormat="1"/>
    <xf numFmtId="169" fontId="0" fillId="0" borderId="0" xfId="1" applyNumberFormat="1" applyFont="1"/>
    <xf numFmtId="169" fontId="0" fillId="0" borderId="0" xfId="1" applyNumberFormat="1" applyFont="1" applyFill="1"/>
    <xf numFmtId="0" fontId="0" fillId="0" borderId="0" xfId="0" quotePrefix="1"/>
    <xf numFmtId="0" fontId="0" fillId="0" borderId="0" xfId="0" applyAlignment="1">
      <alignment wrapText="1"/>
    </xf>
    <xf numFmtId="0" fontId="6" fillId="0" borderId="0" xfId="0" applyFont="1" applyAlignment="1">
      <alignment vertical="top" wrapText="1"/>
    </xf>
    <xf numFmtId="0" fontId="8" fillId="0" borderId="0" xfId="0" applyFont="1" applyAlignment="1">
      <alignment horizontal="center" vertical="top" wrapText="1"/>
    </xf>
    <xf numFmtId="0" fontId="6" fillId="0" borderId="0" xfId="0" applyFont="1" applyAlignment="1">
      <alignment horizontal="right" vertical="top" wrapText="1"/>
    </xf>
    <xf numFmtId="43" fontId="0" fillId="0" borderId="0" xfId="1" applyFont="1"/>
    <xf numFmtId="0" fontId="0" fillId="4" borderId="0" xfId="0" applyFill="1"/>
    <xf numFmtId="0" fontId="0" fillId="4" borderId="0" xfId="0" applyFill="1" applyAlignment="1">
      <alignment horizontal="left" wrapText="1"/>
    </xf>
    <xf numFmtId="0" fontId="0" fillId="4" borderId="0" xfId="0" applyFill="1" applyAlignment="1">
      <alignment wrapText="1"/>
    </xf>
    <xf numFmtId="49" fontId="0" fillId="0" borderId="0" xfId="0" applyNumberFormat="1"/>
    <xf numFmtId="0" fontId="13" fillId="5" borderId="0" xfId="0" applyFont="1" applyFill="1"/>
    <xf numFmtId="0" fontId="0" fillId="5" borderId="0" xfId="0" applyFill="1"/>
    <xf numFmtId="0" fontId="0" fillId="5" borderId="0" xfId="0" applyFill="1" applyAlignment="1">
      <alignment wrapText="1"/>
    </xf>
    <xf numFmtId="0" fontId="0" fillId="5" borderId="0" xfId="0" applyFill="1" applyAlignment="1">
      <alignment vertical="center" wrapText="1"/>
    </xf>
    <xf numFmtId="0" fontId="0" fillId="4" borderId="0" xfId="0" applyFill="1" applyAlignment="1">
      <alignment vertical="center" wrapText="1"/>
    </xf>
    <xf numFmtId="169" fontId="0" fillId="5" borderId="0" xfId="1" applyNumberFormat="1" applyFont="1" applyFill="1"/>
    <xf numFmtId="0" fontId="0" fillId="2" borderId="0" xfId="1" applyNumberFormat="1" applyFont="1" applyFill="1"/>
    <xf numFmtId="10" fontId="0" fillId="0" borderId="0" xfId="0" applyNumberFormat="1"/>
    <xf numFmtId="0" fontId="18" fillId="6" borderId="0" xfId="0" applyFont="1" applyFill="1"/>
    <xf numFmtId="0" fontId="18" fillId="6" borderId="0" xfId="0" applyFont="1" applyFill="1" applyAlignment="1">
      <alignment vertical="top"/>
    </xf>
    <xf numFmtId="0" fontId="18" fillId="6" borderId="0" xfId="0" applyFont="1" applyFill="1" applyAlignment="1">
      <alignment wrapText="1"/>
    </xf>
    <xf numFmtId="0" fontId="2" fillId="5" borderId="0" xfId="0" applyFont="1" applyFill="1"/>
    <xf numFmtId="169" fontId="19" fillId="5" borderId="0" xfId="1" applyNumberFormat="1" applyFont="1" applyFill="1"/>
    <xf numFmtId="168" fontId="0" fillId="0" borderId="0" xfId="1" applyNumberFormat="1" applyFont="1"/>
    <xf numFmtId="0" fontId="2" fillId="7" borderId="0" xfId="0" applyFont="1" applyFill="1"/>
    <xf numFmtId="0" fontId="2" fillId="9" borderId="0" xfId="0" applyFont="1" applyFill="1"/>
    <xf numFmtId="0" fontId="13" fillId="7" borderId="0" xfId="0" applyFont="1" applyFill="1"/>
    <xf numFmtId="169" fontId="2" fillId="7" borderId="0" xfId="1" applyNumberFormat="1" applyFont="1" applyFill="1"/>
    <xf numFmtId="0" fontId="2" fillId="9" borderId="0" xfId="0" applyFont="1" applyFill="1" applyAlignment="1">
      <alignment vertical="top" wrapText="1"/>
    </xf>
    <xf numFmtId="0" fontId="2" fillId="9" borderId="0" xfId="0" applyFont="1" applyFill="1" applyAlignment="1">
      <alignment horizontal="left" wrapText="1"/>
    </xf>
    <xf numFmtId="0" fontId="2" fillId="7" borderId="3" xfId="0" applyFont="1" applyFill="1" applyBorder="1"/>
    <xf numFmtId="0" fontId="2" fillId="7" borderId="4" xfId="0" applyFont="1" applyFill="1" applyBorder="1"/>
    <xf numFmtId="0" fontId="2" fillId="9" borderId="0" xfId="0" applyFont="1" applyFill="1" applyAlignment="1">
      <alignment wrapText="1"/>
    </xf>
    <xf numFmtId="0" fontId="2" fillId="7" borderId="5" xfId="0" applyFont="1" applyFill="1" applyBorder="1"/>
    <xf numFmtId="9" fontId="2" fillId="7" borderId="0" xfId="2" applyFont="1" applyFill="1"/>
    <xf numFmtId="0" fontId="2" fillId="7" borderId="6" xfId="0" applyFont="1" applyFill="1" applyBorder="1"/>
    <xf numFmtId="169" fontId="2" fillId="7" borderId="0" xfId="1" applyNumberFormat="1" applyFont="1" applyFill="1" applyBorder="1"/>
    <xf numFmtId="0" fontId="2" fillId="7" borderId="0" xfId="0" applyFont="1" applyFill="1" applyAlignment="1">
      <alignment horizontal="left" wrapText="1"/>
    </xf>
    <xf numFmtId="0" fontId="2" fillId="7" borderId="0" xfId="0" applyFont="1" applyFill="1" applyAlignment="1">
      <alignment vertical="top"/>
    </xf>
    <xf numFmtId="0" fontId="2" fillId="7" borderId="0" xfId="0" applyFont="1" applyFill="1" applyAlignment="1">
      <alignment horizontal="left" vertical="top" wrapText="1"/>
    </xf>
    <xf numFmtId="0" fontId="2" fillId="7" borderId="6" xfId="0" applyFont="1" applyFill="1" applyBorder="1" applyAlignment="1">
      <alignment horizontal="left" wrapText="1"/>
    </xf>
    <xf numFmtId="0" fontId="2" fillId="7" borderId="0" xfId="0" applyFont="1" applyFill="1" applyAlignment="1">
      <alignment wrapText="1"/>
    </xf>
    <xf numFmtId="0" fontId="2" fillId="7" borderId="7" xfId="0" applyFont="1" applyFill="1" applyBorder="1"/>
    <xf numFmtId="0" fontId="2" fillId="7" borderId="8" xfId="0" applyFont="1" applyFill="1" applyBorder="1"/>
    <xf numFmtId="0" fontId="2" fillId="7" borderId="8" xfId="0" applyFont="1" applyFill="1" applyBorder="1" applyAlignment="1">
      <alignment horizontal="right"/>
    </xf>
    <xf numFmtId="0" fontId="2" fillId="7" borderId="8" xfId="0" applyFont="1" applyFill="1" applyBorder="1" applyAlignment="1">
      <alignment wrapText="1"/>
    </xf>
    <xf numFmtId="0" fontId="2" fillId="7" borderId="9" xfId="0" applyFont="1" applyFill="1" applyBorder="1" applyAlignment="1">
      <alignment wrapText="1"/>
    </xf>
    <xf numFmtId="0" fontId="2" fillId="9" borderId="0" xfId="0" applyFont="1" applyFill="1" applyAlignment="1">
      <alignment horizontal="right"/>
    </xf>
    <xf numFmtId="1" fontId="2" fillId="9" borderId="0" xfId="0" applyNumberFormat="1" applyFont="1" applyFill="1"/>
    <xf numFmtId="0" fontId="20" fillId="9" borderId="0" xfId="0" applyFont="1" applyFill="1"/>
    <xf numFmtId="0" fontId="20" fillId="9" borderId="0" xfId="0" applyFont="1" applyFill="1" applyAlignment="1">
      <alignment vertical="top"/>
    </xf>
    <xf numFmtId="0" fontId="20" fillId="9" borderId="0" xfId="0" applyFont="1" applyFill="1" applyAlignment="1">
      <alignment wrapText="1"/>
    </xf>
    <xf numFmtId="16" fontId="2" fillId="0" borderId="0" xfId="0" quotePrefix="1" applyNumberFormat="1" applyFont="1"/>
    <xf numFmtId="0" fontId="2" fillId="0" borderId="0" xfId="0" quotePrefix="1" applyFont="1"/>
    <xf numFmtId="0" fontId="0" fillId="0" borderId="11" xfId="0" applyBorder="1"/>
    <xf numFmtId="0" fontId="1" fillId="0" borderId="12" xfId="0" applyFont="1" applyBorder="1"/>
    <xf numFmtId="0" fontId="2" fillId="0" borderId="12" xfId="0" applyFont="1" applyBorder="1"/>
    <xf numFmtId="0" fontId="2" fillId="0" borderId="13" xfId="0" applyFont="1" applyBorder="1"/>
    <xf numFmtId="0" fontId="0" fillId="0" borderId="13" xfId="0" applyBorder="1"/>
    <xf numFmtId="0" fontId="0" fillId="0" borderId="15" xfId="0" applyBorder="1"/>
    <xf numFmtId="0" fontId="1" fillId="0" borderId="10" xfId="0" applyFont="1" applyBorder="1"/>
    <xf numFmtId="0" fontId="0" fillId="0" borderId="16" xfId="0" applyBorder="1"/>
    <xf numFmtId="0" fontId="1" fillId="0" borderId="0" xfId="0" applyFont="1" applyAlignment="1">
      <alignment horizontal="center"/>
    </xf>
    <xf numFmtId="0" fontId="1" fillId="0" borderId="13" xfId="0" applyFont="1" applyBorder="1" applyAlignment="1">
      <alignment horizontal="center"/>
    </xf>
    <xf numFmtId="0" fontId="2" fillId="0" borderId="0" xfId="0" applyFont="1" applyAlignment="1">
      <alignment horizontal="center"/>
    </xf>
    <xf numFmtId="0" fontId="2" fillId="0" borderId="13" xfId="0" applyFont="1" applyBorder="1" applyAlignment="1">
      <alignment horizontal="center"/>
    </xf>
    <xf numFmtId="0" fontId="0" fillId="0" borderId="13" xfId="0" applyBorder="1" applyAlignment="1">
      <alignment horizontal="center"/>
    </xf>
    <xf numFmtId="0" fontId="0" fillId="0" borderId="17" xfId="0" applyBorder="1" applyAlignment="1">
      <alignment horizontal="center"/>
    </xf>
    <xf numFmtId="0" fontId="0" fillId="0" borderId="15" xfId="0" applyBorder="1" applyAlignment="1">
      <alignment horizontal="center"/>
    </xf>
    <xf numFmtId="0" fontId="2" fillId="0" borderId="13" xfId="0" applyFont="1" applyBorder="1" applyAlignment="1">
      <alignment horizontal="right"/>
    </xf>
    <xf numFmtId="0" fontId="2" fillId="0" borderId="0" xfId="0" applyFont="1" applyAlignment="1">
      <alignment horizontal="right"/>
    </xf>
    <xf numFmtId="0" fontId="2" fillId="0" borderId="0" xfId="0" applyFont="1" applyAlignment="1">
      <alignment wrapText="1"/>
    </xf>
    <xf numFmtId="168" fontId="0" fillId="0" borderId="0" xfId="0" applyNumberFormat="1"/>
    <xf numFmtId="0" fontId="18" fillId="4" borderId="0" xfId="0" applyFont="1" applyFill="1"/>
    <xf numFmtId="0" fontId="2" fillId="4" borderId="0" xfId="0" applyFont="1" applyFill="1"/>
    <xf numFmtId="0" fontId="0" fillId="7" borderId="0" xfId="0" applyFill="1"/>
    <xf numFmtId="0" fontId="0" fillId="7" borderId="3" xfId="0" applyFill="1" applyBorder="1"/>
    <xf numFmtId="0" fontId="0" fillId="7" borderId="4" xfId="0" applyFill="1" applyBorder="1"/>
    <xf numFmtId="0" fontId="0" fillId="7" borderId="7" xfId="0" applyFill="1" applyBorder="1"/>
    <xf numFmtId="0" fontId="0" fillId="7" borderId="9" xfId="0" applyFill="1" applyBorder="1"/>
    <xf numFmtId="0" fontId="18" fillId="4" borderId="0" xfId="0" applyFont="1" applyFill="1" applyAlignment="1">
      <alignment horizontal="left" wrapText="1"/>
    </xf>
    <xf numFmtId="0" fontId="18" fillId="4" borderId="0" xfId="0" applyFont="1" applyFill="1" applyAlignment="1">
      <alignment wrapText="1"/>
    </xf>
    <xf numFmtId="9" fontId="18" fillId="4" borderId="0" xfId="2" applyFont="1" applyFill="1"/>
    <xf numFmtId="9" fontId="18" fillId="4" borderId="0" xfId="0" applyNumberFormat="1" applyFont="1" applyFill="1"/>
    <xf numFmtId="10" fontId="18" fillId="4" borderId="0" xfId="0" applyNumberFormat="1" applyFont="1" applyFill="1"/>
    <xf numFmtId="0" fontId="0" fillId="7" borderId="8" xfId="0" applyFill="1" applyBorder="1" applyAlignment="1">
      <alignment vertical="top" wrapText="1"/>
    </xf>
    <xf numFmtId="0" fontId="0" fillId="7" borderId="8" xfId="0" applyFill="1" applyBorder="1" applyAlignment="1">
      <alignment vertical="top"/>
    </xf>
    <xf numFmtId="1" fontId="0" fillId="0" borderId="18" xfId="0" applyNumberFormat="1" applyBorder="1"/>
    <xf numFmtId="0" fontId="2" fillId="0" borderId="18" xfId="0" applyFont="1" applyBorder="1"/>
    <xf numFmtId="0" fontId="0" fillId="9" borderId="0" xfId="0" applyFill="1"/>
    <xf numFmtId="0" fontId="19" fillId="9" borderId="0" xfId="0" applyFont="1" applyFill="1"/>
    <xf numFmtId="168" fontId="0" fillId="7" borderId="0" xfId="1" applyNumberFormat="1" applyFont="1" applyFill="1"/>
    <xf numFmtId="166" fontId="0" fillId="7" borderId="0" xfId="2" applyNumberFormat="1" applyFont="1" applyFill="1"/>
    <xf numFmtId="168" fontId="1" fillId="7" borderId="0" xfId="1" applyNumberFormat="1" applyFont="1" applyFill="1"/>
    <xf numFmtId="168" fontId="2" fillId="7" borderId="0" xfId="1" applyNumberFormat="1" applyFont="1" applyFill="1"/>
    <xf numFmtId="0" fontId="20" fillId="9" borderId="0" xfId="0" quotePrefix="1" applyFont="1" applyFill="1"/>
    <xf numFmtId="0" fontId="1" fillId="7" borderId="0" xfId="0" applyFont="1" applyFill="1"/>
    <xf numFmtId="0" fontId="1" fillId="7" borderId="0" xfId="0" applyFont="1" applyFill="1" applyAlignment="1">
      <alignment vertical="center"/>
    </xf>
    <xf numFmtId="0" fontId="2" fillId="5" borderId="0" xfId="0" applyFont="1" applyFill="1" applyAlignment="1">
      <alignment wrapText="1"/>
    </xf>
    <xf numFmtId="0" fontId="0" fillId="6" borderId="0" xfId="0" applyFill="1"/>
    <xf numFmtId="0" fontId="21" fillId="6" borderId="0" xfId="0" applyFont="1" applyFill="1"/>
    <xf numFmtId="0" fontId="1" fillId="5" borderId="0" xfId="0" applyFont="1" applyFill="1" applyAlignment="1">
      <alignment horizontal="right"/>
    </xf>
    <xf numFmtId="0" fontId="14" fillId="6" borderId="0" xfId="0" applyFont="1" applyFill="1"/>
    <xf numFmtId="0" fontId="14" fillId="6" borderId="0" xfId="0" applyFont="1" applyFill="1" applyAlignment="1">
      <alignment vertical="top" wrapText="1"/>
    </xf>
    <xf numFmtId="0" fontId="0" fillId="6" borderId="0" xfId="0" applyFill="1" applyAlignment="1">
      <alignment horizontal="left" wrapText="1"/>
    </xf>
    <xf numFmtId="0" fontId="0" fillId="6" borderId="0" xfId="0" applyFill="1" applyAlignment="1">
      <alignment wrapText="1"/>
    </xf>
    <xf numFmtId="169" fontId="2" fillId="2" borderId="0" xfId="1" applyNumberFormat="1" applyFont="1" applyFill="1" applyProtection="1">
      <protection locked="0"/>
    </xf>
    <xf numFmtId="0" fontId="0" fillId="8" borderId="0" xfId="0" applyFill="1" applyProtection="1">
      <protection locked="0"/>
    </xf>
    <xf numFmtId="0" fontId="0" fillId="8" borderId="0" xfId="0" applyFill="1" applyAlignment="1" applyProtection="1">
      <alignment horizontal="right"/>
      <protection locked="0"/>
    </xf>
    <xf numFmtId="1" fontId="0" fillId="8" borderId="0" xfId="0" applyNumberFormat="1" applyFill="1" applyProtection="1">
      <protection locked="0"/>
    </xf>
    <xf numFmtId="9" fontId="0" fillId="8" borderId="0" xfId="0" applyNumberFormat="1" applyFill="1" applyProtection="1">
      <protection locked="0"/>
    </xf>
    <xf numFmtId="0" fontId="2" fillId="8" borderId="0" xfId="0" applyFont="1" applyFill="1" applyProtection="1">
      <protection locked="0"/>
    </xf>
    <xf numFmtId="165" fontId="2" fillId="8" borderId="0" xfId="0" applyNumberFormat="1" applyFont="1" applyFill="1" applyProtection="1">
      <protection locked="0"/>
    </xf>
    <xf numFmtId="0" fontId="0" fillId="2" borderId="0" xfId="0" applyFill="1" applyProtection="1">
      <protection locked="0"/>
    </xf>
    <xf numFmtId="0" fontId="7" fillId="2" borderId="0" xfId="0" applyFont="1" applyFill="1" applyProtection="1">
      <protection locked="0"/>
    </xf>
    <xf numFmtId="0" fontId="2" fillId="2" borderId="12" xfId="0" applyFont="1" applyFill="1" applyBorder="1" applyProtection="1">
      <protection locked="0"/>
    </xf>
    <xf numFmtId="0" fontId="0" fillId="2" borderId="12" xfId="0" applyFill="1" applyBorder="1" applyProtection="1">
      <protection locked="0"/>
    </xf>
    <xf numFmtId="0" fontId="0" fillId="2" borderId="14" xfId="0" applyFill="1" applyBorder="1" applyProtection="1">
      <protection locked="0"/>
    </xf>
    <xf numFmtId="0" fontId="0" fillId="2" borderId="17" xfId="0" applyFill="1" applyBorder="1" applyProtection="1">
      <protection locked="0"/>
    </xf>
    <xf numFmtId="170" fontId="0" fillId="0" borderId="0" xfId="0" applyNumberFormat="1"/>
    <xf numFmtId="0" fontId="2" fillId="6" borderId="0" xfId="0" applyFont="1" applyFill="1"/>
    <xf numFmtId="0" fontId="2" fillId="6" borderId="0" xfId="0" applyFont="1" applyFill="1" applyAlignment="1">
      <alignment horizontal="right"/>
    </xf>
    <xf numFmtId="0" fontId="2" fillId="6" borderId="0" xfId="0" applyFont="1" applyFill="1" applyAlignment="1">
      <alignment vertical="top"/>
    </xf>
    <xf numFmtId="0" fontId="2" fillId="6" borderId="0" xfId="0" applyFont="1" applyFill="1" applyAlignment="1">
      <alignment wrapText="1"/>
    </xf>
    <xf numFmtId="0" fontId="23" fillId="0" borderId="19" xfId="0" applyFont="1" applyBorder="1" applyAlignment="1">
      <alignment vertical="center" wrapText="1"/>
    </xf>
    <xf numFmtId="0" fontId="1" fillId="5" borderId="0" xfId="0" applyFont="1" applyFill="1"/>
    <xf numFmtId="0" fontId="1" fillId="4" borderId="0" xfId="0" applyFont="1" applyFill="1"/>
    <xf numFmtId="169" fontId="2" fillId="5" borderId="0" xfId="1" applyNumberFormat="1" applyFont="1" applyFill="1"/>
    <xf numFmtId="0" fontId="2" fillId="8" borderId="0" xfId="0" applyFont="1" applyFill="1" applyAlignment="1" applyProtection="1">
      <alignment horizontal="right"/>
      <protection locked="0"/>
    </xf>
    <xf numFmtId="0" fontId="2" fillId="2" borderId="0" xfId="0" applyFont="1" applyFill="1" applyProtection="1">
      <protection locked="0"/>
    </xf>
    <xf numFmtId="0" fontId="2" fillId="2" borderId="0" xfId="0" applyFont="1" applyFill="1" applyAlignment="1" applyProtection="1">
      <alignment horizontal="right"/>
      <protection locked="0"/>
    </xf>
    <xf numFmtId="0" fontId="1" fillId="5" borderId="2" xfId="0" applyFont="1" applyFill="1" applyBorder="1"/>
    <xf numFmtId="0" fontId="2" fillId="5" borderId="3" xfId="0" applyFont="1" applyFill="1" applyBorder="1"/>
    <xf numFmtId="0" fontId="2" fillId="5" borderId="4" xfId="0" applyFont="1" applyFill="1" applyBorder="1"/>
    <xf numFmtId="0" fontId="2" fillId="5" borderId="5" xfId="0" applyFont="1" applyFill="1" applyBorder="1"/>
    <xf numFmtId="0" fontId="2" fillId="5" borderId="6" xfId="0" applyFont="1" applyFill="1" applyBorder="1"/>
    <xf numFmtId="0" fontId="2" fillId="5" borderId="0" xfId="0" applyFont="1" applyFill="1" applyAlignment="1">
      <alignment vertical="top"/>
    </xf>
    <xf numFmtId="0" fontId="1" fillId="5" borderId="0" xfId="0" applyFont="1" applyFill="1" applyAlignment="1">
      <alignment horizontal="right" vertical="top"/>
    </xf>
    <xf numFmtId="0" fontId="2" fillId="5" borderId="0" xfId="0" applyFont="1" applyFill="1" applyAlignment="1">
      <alignment horizontal="left" vertical="top" wrapText="1"/>
    </xf>
    <xf numFmtId="0" fontId="2" fillId="5" borderId="6" xfId="0" applyFont="1" applyFill="1" applyBorder="1" applyAlignment="1">
      <alignment horizontal="left" wrapText="1"/>
    </xf>
    <xf numFmtId="0" fontId="2" fillId="5" borderId="0" xfId="0" applyFont="1" applyFill="1" applyAlignment="1">
      <alignment horizontal="left" wrapText="1"/>
    </xf>
    <xf numFmtId="0" fontId="2" fillId="5" borderId="0" xfId="0" applyFont="1" applyFill="1" applyAlignment="1">
      <alignment horizontal="right"/>
    </xf>
    <xf numFmtId="0" fontId="2" fillId="5" borderId="7" xfId="0" applyFont="1" applyFill="1" applyBorder="1"/>
    <xf numFmtId="0" fontId="2" fillId="5" borderId="8" xfId="0" applyFont="1" applyFill="1" applyBorder="1"/>
    <xf numFmtId="0" fontId="2" fillId="5" borderId="8" xfId="0" applyFont="1" applyFill="1" applyBorder="1" applyAlignment="1">
      <alignment horizontal="right"/>
    </xf>
    <xf numFmtId="0" fontId="2" fillId="5" borderId="8" xfId="0" applyFont="1" applyFill="1" applyBorder="1" applyAlignment="1">
      <alignment wrapText="1"/>
    </xf>
    <xf numFmtId="0" fontId="2" fillId="5" borderId="9" xfId="0" applyFont="1" applyFill="1" applyBorder="1" applyAlignment="1">
      <alignment wrapText="1"/>
    </xf>
    <xf numFmtId="0" fontId="2" fillId="5" borderId="3" xfId="0" applyFont="1" applyFill="1" applyBorder="1" applyAlignment="1">
      <alignment horizontal="right"/>
    </xf>
    <xf numFmtId="0" fontId="2" fillId="5" borderId="0" xfId="0" applyFont="1" applyFill="1" applyAlignment="1">
      <alignment vertical="top" wrapText="1"/>
    </xf>
    <xf numFmtId="0" fontId="2" fillId="5" borderId="6" xfId="0" applyFont="1" applyFill="1" applyBorder="1" applyAlignment="1">
      <alignment wrapText="1"/>
    </xf>
    <xf numFmtId="0" fontId="2" fillId="5" borderId="0" xfId="0" applyFont="1" applyFill="1" applyAlignment="1">
      <alignment horizontal="right" vertical="top"/>
    </xf>
    <xf numFmtId="0" fontId="1" fillId="5" borderId="0" xfId="0" applyFont="1" applyFill="1" applyAlignment="1">
      <alignment horizontal="right" vertical="top" wrapText="1"/>
    </xf>
    <xf numFmtId="0" fontId="2" fillId="5" borderId="9" xfId="0" applyFont="1" applyFill="1" applyBorder="1"/>
    <xf numFmtId="0" fontId="1" fillId="5" borderId="3" xfId="0" applyFont="1" applyFill="1" applyBorder="1"/>
    <xf numFmtId="0" fontId="2" fillId="5" borderId="2" xfId="0" applyFont="1" applyFill="1" applyBorder="1"/>
    <xf numFmtId="43" fontId="2" fillId="5" borderId="0" xfId="0" applyNumberFormat="1" applyFont="1" applyFill="1"/>
    <xf numFmtId="43" fontId="2" fillId="5" borderId="8" xfId="0" applyNumberFormat="1" applyFont="1" applyFill="1" applyBorder="1"/>
    <xf numFmtId="0" fontId="1" fillId="7" borderId="2" xfId="0" applyFont="1" applyFill="1" applyBorder="1"/>
    <xf numFmtId="0" fontId="1" fillId="7" borderId="8" xfId="0" applyFont="1" applyFill="1" applyBorder="1" applyAlignment="1">
      <alignment vertical="top"/>
    </xf>
    <xf numFmtId="9" fontId="2" fillId="5" borderId="0" xfId="2" applyFont="1" applyFill="1" applyBorder="1"/>
    <xf numFmtId="169" fontId="2" fillId="5" borderId="0" xfId="1" applyNumberFormat="1" applyFont="1" applyFill="1" applyBorder="1"/>
    <xf numFmtId="0" fontId="2" fillId="7" borderId="0" xfId="0" applyFont="1" applyFill="1" applyAlignment="1">
      <alignment horizontal="right"/>
    </xf>
    <xf numFmtId="0" fontId="1" fillId="9" borderId="0" xfId="0" applyFont="1" applyFill="1"/>
    <xf numFmtId="0" fontId="1" fillId="7" borderId="0" xfId="0" applyFont="1" applyFill="1" applyAlignment="1">
      <alignment horizontal="right" vertical="top"/>
    </xf>
    <xf numFmtId="169" fontId="1" fillId="0" borderId="0" xfId="1" applyNumberFormat="1" applyFont="1"/>
    <xf numFmtId="0" fontId="2" fillId="0" borderId="0" xfId="0" applyFont="1" applyAlignment="1">
      <alignment vertical="top" wrapText="1"/>
    </xf>
    <xf numFmtId="0" fontId="2" fillId="0" borderId="0" xfId="0" applyFont="1" applyAlignment="1">
      <alignment horizontal="center" vertical="top" wrapText="1"/>
    </xf>
    <xf numFmtId="0" fontId="1" fillId="0" borderId="0" xfId="0" applyFont="1" applyAlignment="1">
      <alignment vertical="top" wrapText="1"/>
    </xf>
    <xf numFmtId="0" fontId="1" fillId="0" borderId="0" xfId="0" applyFont="1" applyAlignment="1">
      <alignment horizontal="right"/>
    </xf>
    <xf numFmtId="0" fontId="1" fillId="0" borderId="0" xfId="0" applyFont="1" applyAlignment="1">
      <alignment horizontal="left"/>
    </xf>
    <xf numFmtId="164" fontId="2" fillId="0" borderId="0" xfId="3" applyFont="1"/>
    <xf numFmtId="9" fontId="0" fillId="0" borderId="0" xfId="2" applyFont="1"/>
    <xf numFmtId="0" fontId="18" fillId="6" borderId="0" xfId="0" applyFont="1" applyFill="1" applyAlignment="1">
      <alignment vertical="top" wrapText="1"/>
    </xf>
    <xf numFmtId="9" fontId="0" fillId="8" borderId="0" xfId="0" applyNumberFormat="1" applyFill="1"/>
    <xf numFmtId="0" fontId="0" fillId="8" borderId="0" xfId="0" applyFill="1"/>
    <xf numFmtId="0" fontId="0" fillId="2" borderId="0" xfId="0" quotePrefix="1" applyFill="1" applyProtection="1">
      <protection locked="0"/>
    </xf>
    <xf numFmtId="0" fontId="1" fillId="4" borderId="0" xfId="0" applyFont="1" applyFill="1" applyAlignment="1">
      <alignment horizontal="left" wrapText="1"/>
    </xf>
    <xf numFmtId="0" fontId="0" fillId="4" borderId="0" xfId="0" applyFill="1" applyAlignment="1">
      <alignment horizontal="left" wrapText="1"/>
    </xf>
    <xf numFmtId="0" fontId="2" fillId="7" borderId="0" xfId="0" applyFont="1" applyFill="1" applyAlignment="1">
      <alignment vertical="top" wrapText="1"/>
    </xf>
    <xf numFmtId="0" fontId="0" fillId="7" borderId="0" xfId="0" applyFill="1" applyAlignment="1">
      <alignment vertical="top" wrapText="1"/>
    </xf>
    <xf numFmtId="0" fontId="0" fillId="0" borderId="0" xfId="0" applyAlignment="1">
      <alignment vertical="top" wrapText="1"/>
    </xf>
    <xf numFmtId="0" fontId="2" fillId="7" borderId="0" xfId="0" applyFont="1" applyFill="1" applyAlignment="1">
      <alignment wrapText="1"/>
    </xf>
    <xf numFmtId="0" fontId="0" fillId="7" borderId="0" xfId="0" applyFill="1" applyAlignment="1">
      <alignment wrapText="1"/>
    </xf>
    <xf numFmtId="0" fontId="1" fillId="7" borderId="0" xfId="0" applyFont="1" applyFill="1" applyAlignment="1">
      <alignment horizontal="left" vertical="top" wrapText="1"/>
    </xf>
    <xf numFmtId="0" fontId="1" fillId="0" borderId="0" xfId="0" applyFont="1" applyAlignment="1">
      <alignment horizontal="left" vertical="top" wrapText="1"/>
    </xf>
    <xf numFmtId="0" fontId="26" fillId="5" borderId="0" xfId="0" applyFont="1" applyFill="1"/>
    <xf numFmtId="1" fontId="26" fillId="5" borderId="0" xfId="0" applyNumberFormat="1" applyFont="1" applyFill="1"/>
  </cellXfs>
  <cellStyles count="4">
    <cellStyle name="Komma" xfId="1" builtinId="3"/>
    <cellStyle name="Normal" xfId="0" builtinId="0"/>
    <cellStyle name="Prosent" xfId="2" builtinId="5"/>
    <cellStyle name="Tusenskille_070813 JHG Reflex_beregning" xfId="3" xr:uid="{00000000-0005-0000-0000-000003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Trykk i anlegget ved ulike temperaturer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lineChart>
        <c:grouping val="standard"/>
        <c:varyColors val="0"/>
        <c:ser>
          <c:idx val="3"/>
          <c:order val="0"/>
          <c:tx>
            <c:strRef>
              <c:f>Test_trykk_i_anlegg!$G$6</c:f>
              <c:strCache>
                <c:ptCount val="1"/>
                <c:pt idx="0">
                  <c:v>Bar</c:v>
                </c:pt>
              </c:strCache>
            </c:strRef>
          </c:tx>
          <c:spPr>
            <a:ln w="28575" cap="rnd">
              <a:solidFill>
                <a:schemeClr val="accent4"/>
              </a:solidFill>
              <a:round/>
            </a:ln>
            <a:effectLst/>
          </c:spPr>
          <c:marker>
            <c:symbol val="none"/>
          </c:marker>
          <c:cat>
            <c:numRef>
              <c:f>Test_trykk_i_anlegg!$B$7:$B$26</c:f>
              <c:numCache>
                <c:formatCode>General</c:formatCode>
                <c:ptCount val="20"/>
                <c:pt idx="0">
                  <c:v>4</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pt idx="17">
                  <c:v>90</c:v>
                </c:pt>
                <c:pt idx="18">
                  <c:v>95</c:v>
                </c:pt>
                <c:pt idx="19">
                  <c:v>100</c:v>
                </c:pt>
              </c:numCache>
            </c:numRef>
          </c:cat>
          <c:val>
            <c:numRef>
              <c:f>Test_trykk_i_anlegg!$G$7:$G$26</c:f>
              <c:numCache>
                <c:formatCode>_-* #\ ##0.0_-;\-* #\ ##0.0_-;_-* "-"?_-;_-@_-</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mooth val="0"/>
          <c:extLst>
            <c:ext xmlns:c16="http://schemas.microsoft.com/office/drawing/2014/chart" uri="{C3380CC4-5D6E-409C-BE32-E72D297353CC}">
              <c16:uniqueId val="{00000003-5D56-4DB4-ADDE-78E7A927867A}"/>
            </c:ext>
          </c:extLst>
        </c:ser>
        <c:dLbls>
          <c:showLegendKey val="0"/>
          <c:showVal val="0"/>
          <c:showCatName val="0"/>
          <c:showSerName val="0"/>
          <c:showPercent val="0"/>
          <c:showBubbleSize val="0"/>
        </c:dLbls>
        <c:smooth val="0"/>
        <c:axId val="1402865887"/>
        <c:axId val="1668097743"/>
      </c:lineChart>
      <c:catAx>
        <c:axId val="14028658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b-NO"/>
                  <a:t>Temperatur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b-N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1668097743"/>
        <c:crosses val="autoZero"/>
        <c:auto val="1"/>
        <c:lblAlgn val="ctr"/>
        <c:lblOffset val="100"/>
        <c:noMultiLvlLbl val="0"/>
      </c:catAx>
      <c:valAx>
        <c:axId val="166809774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b-NO"/>
                  <a:t>Trykk i anlegget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b-NO"/>
            </a:p>
          </c:txPr>
        </c:title>
        <c:numFmt formatCode="_-* #\ ##0.0_-;\-* #\ ##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140286588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200461687392955"/>
          <c:y val="9.0580030641525991E-2"/>
          <c:w val="0.69499058540684877"/>
          <c:h val="0.73188664758352995"/>
        </c:manualLayout>
      </c:layout>
      <c:lineChart>
        <c:grouping val="standard"/>
        <c:varyColors val="0"/>
        <c:ser>
          <c:idx val="0"/>
          <c:order val="0"/>
          <c:tx>
            <c:strRef>
              <c:f>Data!$C$1</c:f>
              <c:strCache>
                <c:ptCount val="1"/>
                <c:pt idx="0">
                  <c:v>30 %</c:v>
                </c:pt>
              </c:strCache>
            </c:strRef>
          </c:tx>
          <c:spPr>
            <a:ln w="12700">
              <a:solidFill>
                <a:srgbClr val="000080"/>
              </a:solidFill>
              <a:prstDash val="solid"/>
            </a:ln>
          </c:spPr>
          <c:marker>
            <c:symbol val="none"/>
          </c:marker>
          <c:cat>
            <c:numRef>
              <c:f>Data!$A$6:$A$24</c:f>
              <c:numCache>
                <c:formatCode>General</c:formatCode>
                <c:ptCount val="19"/>
                <c:pt idx="0">
                  <c:v>10</c:v>
                </c:pt>
                <c:pt idx="1">
                  <c:v>15</c:v>
                </c:pt>
                <c:pt idx="2">
                  <c:v>20</c:v>
                </c:pt>
                <c:pt idx="3">
                  <c:v>25</c:v>
                </c:pt>
                <c:pt idx="4">
                  <c:v>30</c:v>
                </c:pt>
                <c:pt idx="5">
                  <c:v>35</c:v>
                </c:pt>
                <c:pt idx="6">
                  <c:v>40</c:v>
                </c:pt>
                <c:pt idx="7">
                  <c:v>45</c:v>
                </c:pt>
                <c:pt idx="8">
                  <c:v>50</c:v>
                </c:pt>
                <c:pt idx="9">
                  <c:v>55</c:v>
                </c:pt>
                <c:pt idx="10">
                  <c:v>60</c:v>
                </c:pt>
                <c:pt idx="11">
                  <c:v>65</c:v>
                </c:pt>
                <c:pt idx="12">
                  <c:v>70</c:v>
                </c:pt>
                <c:pt idx="13">
                  <c:v>75</c:v>
                </c:pt>
                <c:pt idx="14">
                  <c:v>80</c:v>
                </c:pt>
                <c:pt idx="15">
                  <c:v>85</c:v>
                </c:pt>
                <c:pt idx="16">
                  <c:v>90</c:v>
                </c:pt>
                <c:pt idx="17">
                  <c:v>95</c:v>
                </c:pt>
                <c:pt idx="18">
                  <c:v>100</c:v>
                </c:pt>
              </c:numCache>
            </c:numRef>
          </c:cat>
          <c:val>
            <c:numRef>
              <c:f>Data!$C$6:$C$24</c:f>
              <c:numCache>
                <c:formatCode>0.00%</c:formatCode>
                <c:ptCount val="19"/>
                <c:pt idx="0">
                  <c:v>3.0000000000000001E-3</c:v>
                </c:pt>
                <c:pt idx="1">
                  <c:v>5.0000000000000001E-3</c:v>
                </c:pt>
                <c:pt idx="2">
                  <c:v>7.0000000000000001E-3</c:v>
                </c:pt>
                <c:pt idx="3">
                  <c:v>9.0000000000000011E-3</c:v>
                </c:pt>
                <c:pt idx="4">
                  <c:v>1.0999999999999999E-2</c:v>
                </c:pt>
                <c:pt idx="5">
                  <c:v>1.3000000000000001E-2</c:v>
                </c:pt>
                <c:pt idx="6">
                  <c:v>1.4999999999999999E-2</c:v>
                </c:pt>
                <c:pt idx="7">
                  <c:v>1.7000000000000001E-2</c:v>
                </c:pt>
                <c:pt idx="8">
                  <c:v>2.1000000000000001E-2</c:v>
                </c:pt>
                <c:pt idx="9">
                  <c:v>2.3E-2</c:v>
                </c:pt>
                <c:pt idx="10">
                  <c:v>2.7E-2</c:v>
                </c:pt>
                <c:pt idx="11">
                  <c:v>0.03</c:v>
                </c:pt>
                <c:pt idx="12">
                  <c:v>3.3000000000000002E-2</c:v>
                </c:pt>
                <c:pt idx="13">
                  <c:v>3.5000000000000003E-2</c:v>
                </c:pt>
                <c:pt idx="14">
                  <c:v>3.7999999999999999E-2</c:v>
                </c:pt>
                <c:pt idx="15">
                  <c:v>4.1000000000000002E-2</c:v>
                </c:pt>
                <c:pt idx="16">
                  <c:v>4.2999999999999997E-2</c:v>
                </c:pt>
                <c:pt idx="17">
                  <c:v>4.7E-2</c:v>
                </c:pt>
                <c:pt idx="18">
                  <c:v>0.05</c:v>
                </c:pt>
              </c:numCache>
            </c:numRef>
          </c:val>
          <c:smooth val="0"/>
          <c:extLst>
            <c:ext xmlns:c16="http://schemas.microsoft.com/office/drawing/2014/chart" uri="{C3380CC4-5D6E-409C-BE32-E72D297353CC}">
              <c16:uniqueId val="{00000000-18B7-4B22-A288-767D900E8911}"/>
            </c:ext>
          </c:extLst>
        </c:ser>
        <c:ser>
          <c:idx val="1"/>
          <c:order val="1"/>
          <c:tx>
            <c:strRef>
              <c:f>Data!$D$1</c:f>
              <c:strCache>
                <c:ptCount val="1"/>
                <c:pt idx="0">
                  <c:v>40 %</c:v>
                </c:pt>
              </c:strCache>
            </c:strRef>
          </c:tx>
          <c:spPr>
            <a:ln w="12700">
              <a:solidFill>
                <a:srgbClr val="FF00FF"/>
              </a:solidFill>
              <a:prstDash val="solid"/>
            </a:ln>
          </c:spPr>
          <c:marker>
            <c:symbol val="none"/>
          </c:marker>
          <c:cat>
            <c:numRef>
              <c:f>Data!$A$6:$A$24</c:f>
              <c:numCache>
                <c:formatCode>General</c:formatCode>
                <c:ptCount val="19"/>
                <c:pt idx="0">
                  <c:v>10</c:v>
                </c:pt>
                <c:pt idx="1">
                  <c:v>15</c:v>
                </c:pt>
                <c:pt idx="2">
                  <c:v>20</c:v>
                </c:pt>
                <c:pt idx="3">
                  <c:v>25</c:v>
                </c:pt>
                <c:pt idx="4">
                  <c:v>30</c:v>
                </c:pt>
                <c:pt idx="5">
                  <c:v>35</c:v>
                </c:pt>
                <c:pt idx="6">
                  <c:v>40</c:v>
                </c:pt>
                <c:pt idx="7">
                  <c:v>45</c:v>
                </c:pt>
                <c:pt idx="8">
                  <c:v>50</c:v>
                </c:pt>
                <c:pt idx="9">
                  <c:v>55</c:v>
                </c:pt>
                <c:pt idx="10">
                  <c:v>60</c:v>
                </c:pt>
                <c:pt idx="11">
                  <c:v>65</c:v>
                </c:pt>
                <c:pt idx="12">
                  <c:v>70</c:v>
                </c:pt>
                <c:pt idx="13">
                  <c:v>75</c:v>
                </c:pt>
                <c:pt idx="14">
                  <c:v>80</c:v>
                </c:pt>
                <c:pt idx="15">
                  <c:v>85</c:v>
                </c:pt>
                <c:pt idx="16">
                  <c:v>90</c:v>
                </c:pt>
                <c:pt idx="17">
                  <c:v>95</c:v>
                </c:pt>
                <c:pt idx="18">
                  <c:v>100</c:v>
                </c:pt>
              </c:numCache>
            </c:numRef>
          </c:cat>
          <c:val>
            <c:numRef>
              <c:f>Data!$D$6:$D$24</c:f>
              <c:numCache>
                <c:formatCode>0.00%</c:formatCode>
                <c:ptCount val="19"/>
                <c:pt idx="0">
                  <c:v>3.0000000000000001E-3</c:v>
                </c:pt>
                <c:pt idx="1">
                  <c:v>4.0000000000000001E-3</c:v>
                </c:pt>
                <c:pt idx="2">
                  <c:v>8.0000000000000002E-3</c:v>
                </c:pt>
                <c:pt idx="3">
                  <c:v>1.0999999999999999E-2</c:v>
                </c:pt>
                <c:pt idx="4">
                  <c:v>1.4E-2</c:v>
                </c:pt>
                <c:pt idx="5">
                  <c:v>1.7000000000000001E-2</c:v>
                </c:pt>
                <c:pt idx="6">
                  <c:v>0.02</c:v>
                </c:pt>
                <c:pt idx="7">
                  <c:v>2.3000000000000003E-2</c:v>
                </c:pt>
                <c:pt idx="8">
                  <c:v>2.6000000000000006E-2</c:v>
                </c:pt>
                <c:pt idx="9">
                  <c:v>2.9000000000000008E-2</c:v>
                </c:pt>
                <c:pt idx="10">
                  <c:v>3.2000000000000015E-2</c:v>
                </c:pt>
                <c:pt idx="11">
                  <c:v>3.5000000000000003E-2</c:v>
                </c:pt>
                <c:pt idx="12">
                  <c:v>3.800000000000002E-2</c:v>
                </c:pt>
                <c:pt idx="13">
                  <c:v>4.1000000000000023E-2</c:v>
                </c:pt>
                <c:pt idx="14">
                  <c:v>4.4000000000000025E-2</c:v>
                </c:pt>
                <c:pt idx="15">
                  <c:v>4.7000000000000028E-2</c:v>
                </c:pt>
                <c:pt idx="16">
                  <c:v>0.05</c:v>
                </c:pt>
                <c:pt idx="17">
                  <c:v>5.3000000000000033E-2</c:v>
                </c:pt>
                <c:pt idx="18">
                  <c:v>5.6000000000000036E-2</c:v>
                </c:pt>
              </c:numCache>
            </c:numRef>
          </c:val>
          <c:smooth val="0"/>
          <c:extLst>
            <c:ext xmlns:c16="http://schemas.microsoft.com/office/drawing/2014/chart" uri="{C3380CC4-5D6E-409C-BE32-E72D297353CC}">
              <c16:uniqueId val="{00000001-18B7-4B22-A288-767D900E8911}"/>
            </c:ext>
          </c:extLst>
        </c:ser>
        <c:ser>
          <c:idx val="2"/>
          <c:order val="2"/>
          <c:tx>
            <c:strRef>
              <c:f>Data!$E$1</c:f>
              <c:strCache>
                <c:ptCount val="1"/>
                <c:pt idx="0">
                  <c:v>50 %</c:v>
                </c:pt>
              </c:strCache>
            </c:strRef>
          </c:tx>
          <c:spPr>
            <a:ln w="12700">
              <a:solidFill>
                <a:srgbClr val="FFFF00"/>
              </a:solidFill>
              <a:prstDash val="solid"/>
            </a:ln>
          </c:spPr>
          <c:marker>
            <c:symbol val="none"/>
          </c:marker>
          <c:cat>
            <c:numRef>
              <c:f>Data!$A$6:$A$24</c:f>
              <c:numCache>
                <c:formatCode>General</c:formatCode>
                <c:ptCount val="19"/>
                <c:pt idx="0">
                  <c:v>10</c:v>
                </c:pt>
                <c:pt idx="1">
                  <c:v>15</c:v>
                </c:pt>
                <c:pt idx="2">
                  <c:v>20</c:v>
                </c:pt>
                <c:pt idx="3">
                  <c:v>25</c:v>
                </c:pt>
                <c:pt idx="4">
                  <c:v>30</c:v>
                </c:pt>
                <c:pt idx="5">
                  <c:v>35</c:v>
                </c:pt>
                <c:pt idx="6">
                  <c:v>40</c:v>
                </c:pt>
                <c:pt idx="7">
                  <c:v>45</c:v>
                </c:pt>
                <c:pt idx="8">
                  <c:v>50</c:v>
                </c:pt>
                <c:pt idx="9">
                  <c:v>55</c:v>
                </c:pt>
                <c:pt idx="10">
                  <c:v>60</c:v>
                </c:pt>
                <c:pt idx="11">
                  <c:v>65</c:v>
                </c:pt>
                <c:pt idx="12">
                  <c:v>70</c:v>
                </c:pt>
                <c:pt idx="13">
                  <c:v>75</c:v>
                </c:pt>
                <c:pt idx="14">
                  <c:v>80</c:v>
                </c:pt>
                <c:pt idx="15">
                  <c:v>85</c:v>
                </c:pt>
                <c:pt idx="16">
                  <c:v>90</c:v>
                </c:pt>
                <c:pt idx="17">
                  <c:v>95</c:v>
                </c:pt>
                <c:pt idx="18">
                  <c:v>100</c:v>
                </c:pt>
              </c:numCache>
            </c:numRef>
          </c:cat>
          <c:val>
            <c:numRef>
              <c:f>Data!$E$6:$E$24</c:f>
              <c:numCache>
                <c:formatCode>0.00%</c:formatCode>
                <c:ptCount val="19"/>
                <c:pt idx="0">
                  <c:v>4.4999999999999997E-3</c:v>
                </c:pt>
                <c:pt idx="1">
                  <c:v>7.4999999999999997E-3</c:v>
                </c:pt>
                <c:pt idx="2">
                  <c:v>9.4999999999999998E-3</c:v>
                </c:pt>
                <c:pt idx="3">
                  <c:v>1.2500000000000001E-2</c:v>
                </c:pt>
                <c:pt idx="4">
                  <c:v>1.4999999999999999E-2</c:v>
                </c:pt>
                <c:pt idx="5">
                  <c:v>1.7999999999999999E-2</c:v>
                </c:pt>
                <c:pt idx="6">
                  <c:v>2.1000000000000001E-2</c:v>
                </c:pt>
                <c:pt idx="7">
                  <c:v>2.3E-2</c:v>
                </c:pt>
                <c:pt idx="8">
                  <c:v>2.7E-2</c:v>
                </c:pt>
                <c:pt idx="9">
                  <c:v>0.03</c:v>
                </c:pt>
                <c:pt idx="10">
                  <c:v>3.4000000000000002E-2</c:v>
                </c:pt>
                <c:pt idx="11">
                  <c:v>3.6999999999999998E-2</c:v>
                </c:pt>
                <c:pt idx="12">
                  <c:v>4.1000000000000002E-2</c:v>
                </c:pt>
                <c:pt idx="13">
                  <c:v>4.2999999999999997E-2</c:v>
                </c:pt>
                <c:pt idx="14">
                  <c:v>4.7E-2</c:v>
                </c:pt>
                <c:pt idx="15">
                  <c:v>0.05</c:v>
                </c:pt>
                <c:pt idx="16">
                  <c:v>5.3999999999999999E-2</c:v>
                </c:pt>
                <c:pt idx="17">
                  <c:v>5.7000000000000002E-2</c:v>
                </c:pt>
                <c:pt idx="18">
                  <c:v>6.0999999999999999E-2</c:v>
                </c:pt>
              </c:numCache>
            </c:numRef>
          </c:val>
          <c:smooth val="0"/>
          <c:extLst>
            <c:ext xmlns:c16="http://schemas.microsoft.com/office/drawing/2014/chart" uri="{C3380CC4-5D6E-409C-BE32-E72D297353CC}">
              <c16:uniqueId val="{00000002-18B7-4B22-A288-767D900E8911}"/>
            </c:ext>
          </c:extLst>
        </c:ser>
        <c:ser>
          <c:idx val="3"/>
          <c:order val="3"/>
          <c:tx>
            <c:v>Vann</c:v>
          </c:tx>
          <c:spPr>
            <a:ln w="12700">
              <a:solidFill>
                <a:srgbClr val="00FFFF"/>
              </a:solidFill>
              <a:prstDash val="solid"/>
            </a:ln>
          </c:spPr>
          <c:marker>
            <c:symbol val="none"/>
          </c:marker>
          <c:val>
            <c:numRef>
              <c:f>Data!$B$6:$B$24</c:f>
              <c:numCache>
                <c:formatCode>0.00%</c:formatCode>
                <c:ptCount val="19"/>
                <c:pt idx="0">
                  <c:v>4.0000000000000002E-4</c:v>
                </c:pt>
                <c:pt idx="1">
                  <c:v>1E-3</c:v>
                </c:pt>
                <c:pt idx="2">
                  <c:v>1.8E-3</c:v>
                </c:pt>
                <c:pt idx="3">
                  <c:v>3.0000000000000001E-3</c:v>
                </c:pt>
                <c:pt idx="4">
                  <c:v>4.4000000000000003E-3</c:v>
                </c:pt>
                <c:pt idx="5">
                  <c:v>6.1000000000000004E-3</c:v>
                </c:pt>
                <c:pt idx="6">
                  <c:v>7.9000000000000008E-3</c:v>
                </c:pt>
                <c:pt idx="7">
                  <c:v>9.9000000000000008E-3</c:v>
                </c:pt>
                <c:pt idx="8">
                  <c:v>1.21E-2</c:v>
                </c:pt>
                <c:pt idx="9">
                  <c:v>1.46E-2</c:v>
                </c:pt>
                <c:pt idx="10">
                  <c:v>1.7100000000000001E-2</c:v>
                </c:pt>
                <c:pt idx="11">
                  <c:v>1.9900000000000001E-2</c:v>
                </c:pt>
                <c:pt idx="12">
                  <c:v>2.2800000000000001E-2</c:v>
                </c:pt>
                <c:pt idx="13">
                  <c:v>2.58E-2</c:v>
                </c:pt>
                <c:pt idx="14">
                  <c:v>2.9000000000000001E-2</c:v>
                </c:pt>
                <c:pt idx="15">
                  <c:v>3.2300000000000002E-2</c:v>
                </c:pt>
                <c:pt idx="16">
                  <c:v>3.5900000000000001E-2</c:v>
                </c:pt>
                <c:pt idx="17">
                  <c:v>3.95E-2</c:v>
                </c:pt>
                <c:pt idx="18">
                  <c:v>4.3499999999999997E-2</c:v>
                </c:pt>
              </c:numCache>
            </c:numRef>
          </c:val>
          <c:smooth val="0"/>
          <c:extLst>
            <c:ext xmlns:c16="http://schemas.microsoft.com/office/drawing/2014/chart" uri="{C3380CC4-5D6E-409C-BE32-E72D297353CC}">
              <c16:uniqueId val="{00000003-18B7-4B22-A288-767D900E8911}"/>
            </c:ext>
          </c:extLst>
        </c:ser>
        <c:dLbls>
          <c:showLegendKey val="0"/>
          <c:showVal val="0"/>
          <c:showCatName val="0"/>
          <c:showSerName val="0"/>
          <c:showPercent val="0"/>
          <c:showBubbleSize val="0"/>
        </c:dLbls>
        <c:smooth val="0"/>
        <c:axId val="375227248"/>
        <c:axId val="1"/>
      </c:lineChart>
      <c:catAx>
        <c:axId val="37522724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nb-NO"/>
          </a:p>
        </c:txPr>
        <c:crossAx val="1"/>
        <c:crosses val="autoZero"/>
        <c:auto val="0"/>
        <c:lblAlgn val="ctr"/>
        <c:lblOffset val="100"/>
        <c:tickLblSkip val="2"/>
        <c:tickMarkSkip val="1"/>
        <c:noMultiLvlLbl val="0"/>
      </c:catAx>
      <c:valAx>
        <c:axId val="1"/>
        <c:scaling>
          <c:orientation val="minMax"/>
        </c:scaling>
        <c:delete val="0"/>
        <c:axPos val="l"/>
        <c:numFmt formatCode="0.0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375227248"/>
        <c:crosses val="autoZero"/>
        <c:crossBetween val="between"/>
      </c:valAx>
      <c:spPr>
        <a:solidFill>
          <a:srgbClr val="C0C0C0"/>
        </a:solidFill>
        <a:ln w="12700">
          <a:solidFill>
            <a:srgbClr val="808080"/>
          </a:solidFill>
          <a:prstDash val="solid"/>
        </a:ln>
      </c:spPr>
    </c:plotArea>
    <c:legend>
      <c:legendPos val="r"/>
      <c:layout>
        <c:manualLayout>
          <c:xMode val="edge"/>
          <c:yMode val="edge"/>
          <c:x val="0.84531590413943358"/>
          <c:y val="0.3188405797101449"/>
          <c:w val="0.13943355119825707"/>
          <c:h val="0.27898550724637683"/>
        </c:manualLayout>
      </c:layout>
      <c:overlay val="0"/>
      <c:spPr>
        <a:solidFill>
          <a:srgbClr val="FFFFFF"/>
        </a:solidFill>
        <a:ln w="3175">
          <a:solidFill>
            <a:srgbClr val="000000"/>
          </a:solidFill>
          <a:prstDash val="solid"/>
        </a:ln>
      </c:spPr>
      <c:txPr>
        <a:bodyPr/>
        <a:lstStyle/>
        <a:p>
          <a:pPr>
            <a:defRPr sz="23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nb-NO"/>
    </a:p>
  </c:txPr>
  <c:printSettings>
    <c:headerFooter alignWithMargins="0">
      <c:oddHeader>&amp;A</c:oddHeader>
      <c:oddFooter>Side &amp;P</c:oddFooter>
    </c:headerFooter>
    <c:pageMargins b="0.984251969" l="0.78740157499999996" r="0.78740157499999996" t="0.984251969" header="0.5" footer="0.5"/>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sgp.no/" TargetMode="External"/><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5.jpeg"/><Relationship Id="rId5" Type="http://schemas.openxmlformats.org/officeDocument/2006/relationships/image" Target="../media/image4.jpeg"/><Relationship Id="rId4" Type="http://schemas.openxmlformats.org/officeDocument/2006/relationships/image" Target="../media/image3.jpeg"/></Relationships>
</file>

<file path=xl/drawings/_rels/drawing2.xml.rels><?xml version="1.0" encoding="UTF-8" standalone="yes"?>
<Relationships xmlns="http://schemas.openxmlformats.org/package/2006/relationships"><Relationship Id="rId3" Type="http://schemas.openxmlformats.org/officeDocument/2006/relationships/hyperlink" Target="mailto:post@armatec.no" TargetMode="External"/><Relationship Id="rId2" Type="http://schemas.openxmlformats.org/officeDocument/2006/relationships/image" Target="../media/image6.jpeg"/><Relationship Id="rId1" Type="http://schemas.openxmlformats.org/officeDocument/2006/relationships/hyperlink" Target="http://www.armatec.no/" TargetMode="Externa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hyperlink" Target="http://www.sgp.no/"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hyperlink" Target="http://www.sgp.no/"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hyperlink" Target="http://www.sgp.no/"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hyperlink" Target="http://www.sgp.no/"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9.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2</xdr:col>
      <xdr:colOff>457200</xdr:colOff>
      <xdr:row>22</xdr:row>
      <xdr:rowOff>66675</xdr:rowOff>
    </xdr:from>
    <xdr:to>
      <xdr:col>5</xdr:col>
      <xdr:colOff>381000</xdr:colOff>
      <xdr:row>26</xdr:row>
      <xdr:rowOff>19050</xdr:rowOff>
    </xdr:to>
    <xdr:pic>
      <xdr:nvPicPr>
        <xdr:cNvPr id="145982" name="Picture 4" descr="J:\Logoer og maler\Alfa Laval\Alfa_laval_logo_org.gif">
          <a:extLst>
            <a:ext uri="{FF2B5EF4-FFF2-40B4-BE49-F238E27FC236}">
              <a16:creationId xmlns:a16="http://schemas.microsoft.com/office/drawing/2014/main" id="{00000000-0008-0000-0000-00003E3A02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 y="5962650"/>
          <a:ext cx="22098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352425</xdr:colOff>
      <xdr:row>21</xdr:row>
      <xdr:rowOff>38100</xdr:rowOff>
    </xdr:from>
    <xdr:to>
      <xdr:col>5</xdr:col>
      <xdr:colOff>590550</xdr:colOff>
      <xdr:row>21</xdr:row>
      <xdr:rowOff>504825</xdr:rowOff>
    </xdr:to>
    <xdr:pic>
      <xdr:nvPicPr>
        <xdr:cNvPr id="145984" name="Picture 7" descr="J:\Logoer og maler\De Dieterich\DeDietrich.jpg">
          <a:extLst>
            <a:ext uri="{FF2B5EF4-FFF2-40B4-BE49-F238E27FC236}">
              <a16:creationId xmlns:a16="http://schemas.microsoft.com/office/drawing/2014/main" id="{00000000-0008-0000-0000-0000403A02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77125" y="5286375"/>
          <a:ext cx="25241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xdr:colOff>
      <xdr:row>2</xdr:row>
      <xdr:rowOff>175998</xdr:rowOff>
    </xdr:from>
    <xdr:to>
      <xdr:col>5</xdr:col>
      <xdr:colOff>933450</xdr:colOff>
      <xdr:row>2</xdr:row>
      <xdr:rowOff>724693</xdr:rowOff>
    </xdr:to>
    <xdr:pic>
      <xdr:nvPicPr>
        <xdr:cNvPr id="145987" name="Bilde 9">
          <a:hlinkClick xmlns:r="http://schemas.openxmlformats.org/officeDocument/2006/relationships" r:id="rId3"/>
          <a:extLst>
            <a:ext uri="{FF2B5EF4-FFF2-40B4-BE49-F238E27FC236}">
              <a16:creationId xmlns:a16="http://schemas.microsoft.com/office/drawing/2014/main" id="{00000000-0008-0000-0000-0000433A02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bwMode="auto">
        <a:xfrm>
          <a:off x="7153275" y="566523"/>
          <a:ext cx="3190875" cy="548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219075</xdr:colOff>
      <xdr:row>18</xdr:row>
      <xdr:rowOff>26689</xdr:rowOff>
    </xdr:from>
    <xdr:to>
      <xdr:col>5</xdr:col>
      <xdr:colOff>19050</xdr:colOff>
      <xdr:row>18</xdr:row>
      <xdr:rowOff>800100</xdr:rowOff>
    </xdr:to>
    <xdr:pic>
      <xdr:nvPicPr>
        <xdr:cNvPr id="2" name="Bild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105775" y="4141489"/>
          <a:ext cx="1323975" cy="773411"/>
        </a:xfrm>
        <a:prstGeom prst="rect">
          <a:avLst/>
        </a:prstGeom>
      </xdr:spPr>
    </xdr:pic>
    <xdr:clientData/>
  </xdr:twoCellAnchor>
  <xdr:twoCellAnchor editAs="oneCell">
    <xdr:from>
      <xdr:col>2</xdr:col>
      <xdr:colOff>628651</xdr:colOff>
      <xdr:row>10</xdr:row>
      <xdr:rowOff>47625</xdr:rowOff>
    </xdr:from>
    <xdr:to>
      <xdr:col>5</xdr:col>
      <xdr:colOff>162813</xdr:colOff>
      <xdr:row>15</xdr:row>
      <xdr:rowOff>137921</xdr:rowOff>
    </xdr:to>
    <xdr:pic>
      <xdr:nvPicPr>
        <xdr:cNvPr id="3" name="Bil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753351" y="2705100"/>
          <a:ext cx="1820162" cy="10618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1489261</xdr:colOff>
      <xdr:row>3</xdr:row>
      <xdr:rowOff>51147</xdr:rowOff>
    </xdr:from>
    <xdr:to>
      <xdr:col>7</xdr:col>
      <xdr:colOff>472569</xdr:colOff>
      <xdr:row>8</xdr:row>
      <xdr:rowOff>59840</xdr:rowOff>
    </xdr:to>
    <xdr:pic>
      <xdr:nvPicPr>
        <xdr:cNvPr id="5521" name="Bilde 1">
          <a:hlinkClick xmlns:r="http://schemas.openxmlformats.org/officeDocument/2006/relationships" r:id="rId1"/>
          <a:extLst>
            <a:ext uri="{FF2B5EF4-FFF2-40B4-BE49-F238E27FC236}">
              <a16:creationId xmlns:a16="http://schemas.microsoft.com/office/drawing/2014/main" id="{00000000-0008-0000-0100-00009115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6262967" y="589029"/>
          <a:ext cx="4590059" cy="7892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2431675</xdr:colOff>
      <xdr:row>12</xdr:row>
      <xdr:rowOff>33617</xdr:rowOff>
    </xdr:from>
    <xdr:to>
      <xdr:col>5</xdr:col>
      <xdr:colOff>4101352</xdr:colOff>
      <xdr:row>14</xdr:row>
      <xdr:rowOff>56029</xdr:rowOff>
    </xdr:to>
    <xdr:sp macro="" textlink="">
      <xdr:nvSpPr>
        <xdr:cNvPr id="4" name="Avrundet rektangel 3">
          <a:hlinkClick xmlns:r="http://schemas.openxmlformats.org/officeDocument/2006/relationships" r:id="rId3"/>
          <a:extLst>
            <a:ext uri="{FF2B5EF4-FFF2-40B4-BE49-F238E27FC236}">
              <a16:creationId xmlns:a16="http://schemas.microsoft.com/office/drawing/2014/main" id="{00000000-0008-0000-0100-000004000000}"/>
            </a:ext>
          </a:extLst>
        </xdr:cNvPr>
        <xdr:cNvSpPr/>
      </xdr:nvSpPr>
      <xdr:spPr bwMode="auto">
        <a:xfrm>
          <a:off x="7205381" y="1983441"/>
          <a:ext cx="1669677" cy="336176"/>
        </a:xfrm>
        <a:prstGeom prst="roundRect">
          <a:avLst/>
        </a:prstGeom>
        <a:solidFill>
          <a:schemeClr val="bg1">
            <a:lumMod val="85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nb-NO" sz="1100"/>
            <a:t>Send forespørsel</a:t>
          </a:r>
          <a:r>
            <a:rPr lang="nb-NO" sz="1100" baseline="0"/>
            <a:t> til Armatec</a:t>
          </a:r>
          <a:endParaRPr lang="nb-NO"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285749</xdr:colOff>
      <xdr:row>4</xdr:row>
      <xdr:rowOff>123824</xdr:rowOff>
    </xdr:from>
    <xdr:to>
      <xdr:col>17</xdr:col>
      <xdr:colOff>695324</xdr:colOff>
      <xdr:row>35</xdr:row>
      <xdr:rowOff>19049</xdr:rowOff>
    </xdr:to>
    <xdr:graphicFrame macro="">
      <xdr:nvGraphicFramePr>
        <xdr:cNvPr id="2" name="Diagram 1">
          <a:extLst>
            <a:ext uri="{FF2B5EF4-FFF2-40B4-BE49-F238E27FC236}">
              <a16:creationId xmlns:a16="http://schemas.microsoft.com/office/drawing/2014/main" id="{1B0F1E60-7F9A-7213-A053-61110C0AE9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1019175</xdr:colOff>
      <xdr:row>3</xdr:row>
      <xdr:rowOff>123825</xdr:rowOff>
    </xdr:from>
    <xdr:to>
      <xdr:col>7</xdr:col>
      <xdr:colOff>94259</xdr:colOff>
      <xdr:row>8</xdr:row>
      <xdr:rowOff>103495</xdr:rowOff>
    </xdr:to>
    <xdr:pic>
      <xdr:nvPicPr>
        <xdr:cNvPr id="3" name="Bilde 1">
          <a:hlinkClick xmlns:r="http://schemas.openxmlformats.org/officeDocument/2006/relationships" r:id="rId1"/>
          <a:extLst>
            <a:ext uri="{FF2B5EF4-FFF2-40B4-BE49-F238E27FC236}">
              <a16:creationId xmlns:a16="http://schemas.microsoft.com/office/drawing/2014/main" id="{E89D9108-5808-4577-A723-46B3509A91A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5791200" y="676275"/>
          <a:ext cx="4590059" cy="7892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1304925</xdr:colOff>
      <xdr:row>2</xdr:row>
      <xdr:rowOff>114300</xdr:rowOff>
    </xdr:from>
    <xdr:to>
      <xdr:col>7</xdr:col>
      <xdr:colOff>380009</xdr:colOff>
      <xdr:row>7</xdr:row>
      <xdr:rowOff>97780</xdr:rowOff>
    </xdr:to>
    <xdr:pic>
      <xdr:nvPicPr>
        <xdr:cNvPr id="2" name="Bilde 1">
          <a:hlinkClick xmlns:r="http://schemas.openxmlformats.org/officeDocument/2006/relationships" r:id="rId1"/>
          <a:extLst>
            <a:ext uri="{FF2B5EF4-FFF2-40B4-BE49-F238E27FC236}">
              <a16:creationId xmlns:a16="http://schemas.microsoft.com/office/drawing/2014/main" id="{E93E1D86-77FE-4CD4-B988-E03CEBF67A1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6076950" y="504825"/>
          <a:ext cx="4590059" cy="7892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1085850</xdr:colOff>
      <xdr:row>1</xdr:row>
      <xdr:rowOff>214186</xdr:rowOff>
    </xdr:from>
    <xdr:to>
      <xdr:col>4</xdr:col>
      <xdr:colOff>1284884</xdr:colOff>
      <xdr:row>1</xdr:row>
      <xdr:rowOff>646420</xdr:rowOff>
    </xdr:to>
    <xdr:pic>
      <xdr:nvPicPr>
        <xdr:cNvPr id="3" name="Bilde 1">
          <a:hlinkClick xmlns:r="http://schemas.openxmlformats.org/officeDocument/2006/relationships" r:id="rId1"/>
          <a:extLst>
            <a:ext uri="{FF2B5EF4-FFF2-40B4-BE49-F238E27FC236}">
              <a16:creationId xmlns:a16="http://schemas.microsoft.com/office/drawing/2014/main" id="{15DFC796-F612-410E-BA20-EAD90B429A9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3381375" y="376111"/>
          <a:ext cx="2513609" cy="432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3031179</xdr:colOff>
      <xdr:row>0</xdr:row>
      <xdr:rowOff>114301</xdr:rowOff>
    </xdr:from>
    <xdr:to>
      <xdr:col>7</xdr:col>
      <xdr:colOff>618134</xdr:colOff>
      <xdr:row>3</xdr:row>
      <xdr:rowOff>95251</xdr:rowOff>
    </xdr:to>
    <xdr:pic>
      <xdr:nvPicPr>
        <xdr:cNvPr id="2" name="Bilde 1">
          <a:hlinkClick xmlns:r="http://schemas.openxmlformats.org/officeDocument/2006/relationships" r:id="rId1"/>
          <a:extLst>
            <a:ext uri="{FF2B5EF4-FFF2-40B4-BE49-F238E27FC236}">
              <a16:creationId xmlns:a16="http://schemas.microsoft.com/office/drawing/2014/main" id="{F85F3C9E-392C-462A-B905-1DAE41C27CC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7803204" y="114301"/>
          <a:ext cx="310193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581025</xdr:colOff>
      <xdr:row>42</xdr:row>
      <xdr:rowOff>133350</xdr:rowOff>
    </xdr:from>
    <xdr:to>
      <xdr:col>7</xdr:col>
      <xdr:colOff>648601</xdr:colOff>
      <xdr:row>78</xdr:row>
      <xdr:rowOff>67479</xdr:rowOff>
    </xdr:to>
    <xdr:pic>
      <xdr:nvPicPr>
        <xdr:cNvPr id="2" name="Bilde 1">
          <a:extLst>
            <a:ext uri="{FF2B5EF4-FFF2-40B4-BE49-F238E27FC236}">
              <a16:creationId xmlns:a16="http://schemas.microsoft.com/office/drawing/2014/main" id="{55A650EE-8AC7-2333-A6DC-61596707066C}"/>
            </a:ext>
          </a:extLst>
        </xdr:cNvPr>
        <xdr:cNvPicPr>
          <a:picLocks noChangeAspect="1"/>
        </xdr:cNvPicPr>
      </xdr:nvPicPr>
      <xdr:blipFill>
        <a:blip xmlns:r="http://schemas.openxmlformats.org/officeDocument/2006/relationships" r:embed="rId1"/>
        <a:stretch>
          <a:fillRect/>
        </a:stretch>
      </xdr:blipFill>
      <xdr:spPr>
        <a:xfrm>
          <a:off x="581025" y="6972300"/>
          <a:ext cx="6458851" cy="5763429"/>
        </a:xfrm>
        <a:prstGeom prst="rect">
          <a:avLst/>
        </a:prstGeom>
      </xdr:spPr>
    </xdr:pic>
    <xdr:clientData/>
  </xdr:twoCellAnchor>
  <xdr:twoCellAnchor editAs="oneCell">
    <xdr:from>
      <xdr:col>8</xdr:col>
      <xdr:colOff>1019175</xdr:colOff>
      <xdr:row>43</xdr:row>
      <xdr:rowOff>0</xdr:rowOff>
    </xdr:from>
    <xdr:to>
      <xdr:col>23</xdr:col>
      <xdr:colOff>220625</xdr:colOff>
      <xdr:row>81</xdr:row>
      <xdr:rowOff>86596</xdr:rowOff>
    </xdr:to>
    <xdr:pic>
      <xdr:nvPicPr>
        <xdr:cNvPr id="3" name="Bilde 2">
          <a:extLst>
            <a:ext uri="{FF2B5EF4-FFF2-40B4-BE49-F238E27FC236}">
              <a16:creationId xmlns:a16="http://schemas.microsoft.com/office/drawing/2014/main" id="{AF1FDF4A-C036-A06F-3D11-2840168C6C2A}"/>
            </a:ext>
          </a:extLst>
        </xdr:cNvPr>
        <xdr:cNvPicPr>
          <a:picLocks noChangeAspect="1"/>
        </xdr:cNvPicPr>
      </xdr:nvPicPr>
      <xdr:blipFill>
        <a:blip xmlns:r="http://schemas.openxmlformats.org/officeDocument/2006/relationships" r:embed="rId2"/>
        <a:stretch>
          <a:fillRect/>
        </a:stretch>
      </xdr:blipFill>
      <xdr:spPr>
        <a:xfrm>
          <a:off x="8582025" y="7000875"/>
          <a:ext cx="11107700" cy="623974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15</xdr:col>
      <xdr:colOff>104775</xdr:colOff>
      <xdr:row>7</xdr:row>
      <xdr:rowOff>142875</xdr:rowOff>
    </xdr:from>
    <xdr:to>
      <xdr:col>22</xdr:col>
      <xdr:colOff>361950</xdr:colOff>
      <xdr:row>24</xdr:row>
      <xdr:rowOff>47625</xdr:rowOff>
    </xdr:to>
    <xdr:graphicFrame macro="">
      <xdr:nvGraphicFramePr>
        <xdr:cNvPr id="1237" name="Chart 1">
          <a:extLst>
            <a:ext uri="{FF2B5EF4-FFF2-40B4-BE49-F238E27FC236}">
              <a16:creationId xmlns:a16="http://schemas.microsoft.com/office/drawing/2014/main" id="{00000000-0008-0000-0A00-0000D5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3"/>
  <dimension ref="A1:J42"/>
  <sheetViews>
    <sheetView workbookViewId="0">
      <selection activeCell="H6" sqref="H6"/>
    </sheetView>
  </sheetViews>
  <sheetFormatPr baseColWidth="10" defaultColWidth="11.42578125" defaultRowHeight="12.75"/>
  <cols>
    <col min="1" max="1" width="104.5703125" style="45" customWidth="1"/>
    <col min="2" max="2" width="2.28515625" style="45" customWidth="1"/>
    <col min="3" max="5" width="11.42578125" style="45"/>
    <col min="6" max="6" width="14.140625" style="45" customWidth="1"/>
    <col min="7" max="16384" width="11.42578125" style="45"/>
  </cols>
  <sheetData>
    <row r="1" spans="1:6" ht="18">
      <c r="A1" s="49" t="s">
        <v>0</v>
      </c>
    </row>
    <row r="3" spans="1:6" ht="76.5">
      <c r="A3" s="51" t="s">
        <v>1</v>
      </c>
      <c r="B3" s="47"/>
    </row>
    <row r="4" spans="1:6">
      <c r="A4" s="50"/>
    </row>
    <row r="5" spans="1:6">
      <c r="A5" s="51" t="s">
        <v>2</v>
      </c>
      <c r="B5" s="47"/>
    </row>
    <row r="7" spans="1:6">
      <c r="A7" s="164" t="s">
        <v>3</v>
      </c>
      <c r="B7" s="165"/>
    </row>
    <row r="8" spans="1:6" ht="25.5">
      <c r="A8" s="51" t="s">
        <v>4</v>
      </c>
      <c r="B8" s="47"/>
    </row>
    <row r="9" spans="1:6">
      <c r="B9" s="47"/>
      <c r="C9" s="50"/>
      <c r="D9" s="50"/>
      <c r="E9" s="50"/>
      <c r="F9" s="50"/>
    </row>
    <row r="10" spans="1:6">
      <c r="A10" s="164" t="s">
        <v>5</v>
      </c>
      <c r="B10" s="47"/>
      <c r="C10" s="50"/>
      <c r="D10" s="50"/>
      <c r="E10" s="50"/>
      <c r="F10" s="50"/>
    </row>
    <row r="11" spans="1:6" ht="25.5">
      <c r="A11" s="51" t="s">
        <v>6</v>
      </c>
      <c r="B11" s="47"/>
      <c r="C11" s="50"/>
      <c r="D11" s="50"/>
      <c r="E11" s="50"/>
      <c r="F11" s="50"/>
    </row>
    <row r="12" spans="1:6">
      <c r="A12" s="51"/>
      <c r="B12" s="47"/>
      <c r="C12" s="50"/>
      <c r="D12" s="50"/>
      <c r="E12" s="50"/>
      <c r="F12" s="50"/>
    </row>
    <row r="13" spans="1:6">
      <c r="A13" s="137" t="s">
        <v>7</v>
      </c>
      <c r="B13" s="47"/>
      <c r="C13" s="50"/>
      <c r="D13" s="50"/>
      <c r="E13" s="50"/>
      <c r="F13" s="50"/>
    </row>
    <row r="14" spans="1:6">
      <c r="A14" s="137" t="s">
        <v>8</v>
      </c>
      <c r="B14" s="47"/>
      <c r="C14" s="50"/>
      <c r="D14" s="50"/>
      <c r="E14" s="50"/>
      <c r="F14" s="50"/>
    </row>
    <row r="15" spans="1:6">
      <c r="A15" s="137" t="s">
        <v>9</v>
      </c>
      <c r="B15" s="47"/>
      <c r="C15" s="50"/>
      <c r="D15" s="50"/>
      <c r="E15" s="50"/>
      <c r="F15" s="50"/>
    </row>
    <row r="16" spans="1:6">
      <c r="A16" s="137" t="s">
        <v>10</v>
      </c>
      <c r="B16" s="47"/>
      <c r="C16" s="50"/>
      <c r="D16" s="50"/>
      <c r="E16" s="50"/>
      <c r="F16" s="50"/>
    </row>
    <row r="17" spans="1:10">
      <c r="A17" s="51" t="s">
        <v>11</v>
      </c>
      <c r="B17" s="47"/>
      <c r="C17" s="50"/>
      <c r="D17" s="50"/>
      <c r="E17" s="50"/>
      <c r="F17" s="50"/>
    </row>
    <row r="18" spans="1:10">
      <c r="A18" s="51"/>
      <c r="B18" s="53"/>
      <c r="C18" s="52"/>
      <c r="D18" s="52"/>
      <c r="E18" s="52"/>
      <c r="F18" s="52"/>
      <c r="G18" s="53"/>
      <c r="H18" s="53"/>
      <c r="I18" s="53"/>
      <c r="J18" s="53"/>
    </row>
    <row r="19" spans="1:10" ht="63.75">
      <c r="A19" s="51" t="s">
        <v>12</v>
      </c>
      <c r="C19" s="50"/>
      <c r="D19" s="50"/>
      <c r="E19" s="50"/>
      <c r="F19" s="50"/>
    </row>
    <row r="20" spans="1:10">
      <c r="A20" s="51"/>
      <c r="C20" s="50"/>
      <c r="D20" s="50"/>
      <c r="E20" s="50"/>
      <c r="F20" s="50"/>
    </row>
    <row r="21" spans="1:10">
      <c r="C21" s="50"/>
      <c r="D21" s="50"/>
      <c r="E21" s="50"/>
      <c r="F21" s="50"/>
    </row>
    <row r="22" spans="1:10" ht="51">
      <c r="A22" s="52" t="s">
        <v>13</v>
      </c>
      <c r="C22" s="50"/>
      <c r="D22" s="50"/>
      <c r="E22" s="50"/>
      <c r="F22" s="50"/>
    </row>
    <row r="23" spans="1:10">
      <c r="C23" s="50"/>
      <c r="D23" s="50"/>
      <c r="E23" s="50"/>
      <c r="F23" s="50"/>
    </row>
    <row r="24" spans="1:10">
      <c r="C24" s="50"/>
      <c r="D24" s="50"/>
      <c r="E24" s="50"/>
      <c r="F24" s="50"/>
    </row>
    <row r="25" spans="1:10">
      <c r="C25" s="50"/>
      <c r="D25" s="50"/>
      <c r="E25" s="50"/>
      <c r="F25" s="50"/>
    </row>
    <row r="26" spans="1:10">
      <c r="C26" s="50"/>
      <c r="D26" s="50"/>
      <c r="E26" s="50"/>
      <c r="F26" s="50"/>
    </row>
    <row r="27" spans="1:10">
      <c r="C27" s="50"/>
      <c r="D27" s="50"/>
      <c r="E27" s="50"/>
      <c r="F27" s="50"/>
    </row>
    <row r="28" spans="1:10">
      <c r="C28" s="50"/>
      <c r="D28" s="50"/>
      <c r="E28" s="50"/>
      <c r="F28" s="50"/>
    </row>
    <row r="30" spans="1:10" ht="29.25" customHeight="1">
      <c r="C30" s="215" t="s">
        <v>14</v>
      </c>
      <c r="D30" s="216"/>
      <c r="E30" s="216"/>
      <c r="F30" s="216"/>
    </row>
    <row r="32" spans="1:10" ht="27" customHeight="1">
      <c r="C32" s="215" t="s">
        <v>15</v>
      </c>
      <c r="D32" s="216"/>
      <c r="E32" s="216"/>
      <c r="F32" s="216"/>
    </row>
    <row r="33" spans="3:6">
      <c r="C33" s="46"/>
      <c r="D33" s="46"/>
      <c r="E33" s="46"/>
      <c r="F33" s="46"/>
    </row>
    <row r="34" spans="3:6" ht="28.5" customHeight="1">
      <c r="C34" s="215" t="s">
        <v>16</v>
      </c>
      <c r="D34" s="216"/>
      <c r="E34" s="216"/>
      <c r="F34" s="216"/>
    </row>
    <row r="35" spans="3:6">
      <c r="C35" s="46"/>
      <c r="D35" s="46"/>
      <c r="E35" s="46"/>
      <c r="F35" s="46"/>
    </row>
    <row r="36" spans="3:6" ht="30" customHeight="1">
      <c r="C36" s="215" t="s">
        <v>17</v>
      </c>
      <c r="D36" s="216"/>
      <c r="E36" s="216"/>
      <c r="F36" s="216"/>
    </row>
    <row r="37" spans="3:6">
      <c r="C37" s="46"/>
      <c r="D37" s="46"/>
      <c r="E37" s="46"/>
      <c r="F37" s="46"/>
    </row>
    <row r="38" spans="3:6" ht="25.5" customHeight="1"/>
    <row r="39" spans="3:6">
      <c r="C39" s="46"/>
      <c r="D39" s="46"/>
      <c r="E39" s="46"/>
      <c r="F39" s="46"/>
    </row>
    <row r="40" spans="3:6" ht="27.75" customHeight="1">
      <c r="C40" s="215"/>
      <c r="D40" s="216"/>
      <c r="E40" s="216"/>
      <c r="F40" s="216"/>
    </row>
    <row r="41" spans="3:6">
      <c r="C41" s="46"/>
      <c r="D41" s="46"/>
      <c r="E41" s="46"/>
      <c r="F41" s="46"/>
    </row>
    <row r="42" spans="3:6" ht="24" customHeight="1">
      <c r="C42" s="215"/>
      <c r="D42" s="216"/>
      <c r="E42" s="216"/>
      <c r="F42" s="216"/>
    </row>
  </sheetData>
  <mergeCells count="6">
    <mergeCell ref="C30:F30"/>
    <mergeCell ref="C34:F34"/>
    <mergeCell ref="C40:F40"/>
    <mergeCell ref="C42:F42"/>
    <mergeCell ref="C32:F32"/>
    <mergeCell ref="C36:F36"/>
  </mergeCells>
  <phoneticPr fontId="0" type="noConversion"/>
  <pageMargins left="0.78740157499999996" right="0.78740157499999996" top="0.984251969" bottom="0.984251969" header="0.5" footer="0.5"/>
  <headerFooter alignWithMargins="0"/>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6"/>
  <dimension ref="A2:J41"/>
  <sheetViews>
    <sheetView workbookViewId="0">
      <selection activeCell="H26" sqref="H26"/>
    </sheetView>
  </sheetViews>
  <sheetFormatPr baseColWidth="10" defaultColWidth="11.42578125" defaultRowHeight="12.75"/>
  <cols>
    <col min="1" max="1" width="18.28515625" bestFit="1" customWidth="1"/>
    <col min="2" max="2" width="16.7109375" customWidth="1"/>
    <col min="7" max="7" width="15.140625" bestFit="1" customWidth="1"/>
    <col min="8" max="8" width="17.5703125" customWidth="1"/>
    <col min="9" max="9" width="18.5703125" bestFit="1" customWidth="1"/>
  </cols>
  <sheetData>
    <row r="2" spans="1:8" ht="15.75">
      <c r="A2" s="11" t="s">
        <v>493</v>
      </c>
    </row>
    <row r="4" spans="1:8">
      <c r="G4" s="4" t="s">
        <v>494</v>
      </c>
    </row>
    <row r="5" spans="1:8">
      <c r="A5" t="s">
        <v>314</v>
      </c>
      <c r="B5" s="50">
        <f>Ekspansjon!D4</f>
        <v>40</v>
      </c>
      <c r="C5" t="s">
        <v>315</v>
      </c>
      <c r="G5" t="s">
        <v>495</v>
      </c>
      <c r="H5" s="27">
        <v>0.3</v>
      </c>
    </row>
    <row r="6" spans="1:8">
      <c r="A6" t="s">
        <v>496</v>
      </c>
      <c r="B6" s="28">
        <f>(B5+10)/160</f>
        <v>0.3125</v>
      </c>
      <c r="C6" t="s">
        <v>495</v>
      </c>
      <c r="G6" t="s">
        <v>86</v>
      </c>
      <c r="H6">
        <f>H5*160-10</f>
        <v>38</v>
      </c>
    </row>
    <row r="8" spans="1:8">
      <c r="A8" t="s">
        <v>497</v>
      </c>
      <c r="B8" s="50">
        <f>Ekspansjon!D10</f>
        <v>24</v>
      </c>
      <c r="C8" t="s">
        <v>38</v>
      </c>
    </row>
    <row r="9" spans="1:8">
      <c r="A9" t="s">
        <v>288</v>
      </c>
      <c r="B9" s="50">
        <f>Ekspansjon!D32</f>
        <v>5000</v>
      </c>
      <c r="C9" t="s">
        <v>288</v>
      </c>
    </row>
    <row r="10" spans="1:8">
      <c r="A10" t="s">
        <v>498</v>
      </c>
      <c r="B10" s="54">
        <f>vannmengde</f>
        <v>5000</v>
      </c>
      <c r="C10" t="s">
        <v>23</v>
      </c>
    </row>
    <row r="11" spans="1:8">
      <c r="A11" t="s">
        <v>317</v>
      </c>
      <c r="B11" s="36">
        <f>ekspansjon</f>
        <v>64.5</v>
      </c>
    </row>
    <row r="12" spans="1:8">
      <c r="A12" t="s">
        <v>48</v>
      </c>
      <c r="B12" s="208" t="str">
        <f>VLOOKUP(B11,H28:I41,2)</f>
        <v>Reflexomat XS</v>
      </c>
    </row>
    <row r="13" spans="1:8">
      <c r="B13" s="30"/>
    </row>
    <row r="14" spans="1:8">
      <c r="A14" t="s">
        <v>499</v>
      </c>
      <c r="B14" s="4" t="str">
        <f>IF(B12="Reflexomat XS","",VLOOKUP(-B16,G20:H24,2))</f>
        <v/>
      </c>
    </row>
    <row r="15" spans="1:8">
      <c r="A15" t="s">
        <v>500</v>
      </c>
      <c r="B15" s="209" t="str">
        <f>IF(B14="","",VLOOKUP(B14,A19:B23,2,FALSE))</f>
        <v/>
      </c>
      <c r="C15" t="s">
        <v>501</v>
      </c>
    </row>
    <row r="16" spans="1:8">
      <c r="A16" t="s">
        <v>502</v>
      </c>
      <c r="B16" s="29">
        <f>(B6*B9/60)*(B8/10+1.5)</f>
        <v>101.5625</v>
      </c>
      <c r="C16" t="s">
        <v>501</v>
      </c>
    </row>
    <row r="18" spans="1:10">
      <c r="B18" s="30" t="s">
        <v>501</v>
      </c>
      <c r="C18" t="s">
        <v>503</v>
      </c>
    </row>
    <row r="19" spans="1:10">
      <c r="A19" s="14" t="s">
        <v>476</v>
      </c>
      <c r="B19" s="31">
        <f>Diagram!B2+Diagram!B3*komptrykk+komptrykk*Diagram!B4^2</f>
        <v>65.171000000000006</v>
      </c>
      <c r="G19" s="4" t="s">
        <v>494</v>
      </c>
    </row>
    <row r="20" spans="1:10">
      <c r="A20" t="s">
        <v>461</v>
      </c>
      <c r="B20" s="20">
        <f>Diagram!B12+komptrykk*Diagram!B13+komptrykk*Diagram!B14^2</f>
        <v>98.063731160826492</v>
      </c>
      <c r="C20">
        <f>-6.8*H26+120</f>
        <v>100.28</v>
      </c>
      <c r="G20" s="32">
        <f>-B23</f>
        <v>-409.61417590952027</v>
      </c>
      <c r="H20" t="str">
        <f>A23</f>
        <v>Kompressor RS580</v>
      </c>
    </row>
    <row r="21" spans="1:10">
      <c r="A21" t="s">
        <v>465</v>
      </c>
      <c r="B21" s="31">
        <f>Diagram!B22+Diagram!B23*komptrykk+komptrykk*Diagram!B24^2</f>
        <v>199.24226439248619</v>
      </c>
      <c r="C21">
        <f>-12*H26+235</f>
        <v>200.2</v>
      </c>
      <c r="G21" s="32">
        <f>-B22</f>
        <v>-264.73814369339391</v>
      </c>
      <c r="H21" t="str">
        <f>A22</f>
        <v>Kompressor RS400</v>
      </c>
    </row>
    <row r="22" spans="1:10">
      <c r="A22" t="s">
        <v>469</v>
      </c>
      <c r="B22" s="31">
        <f>Diagram!B32+Diagram!B33*komptrykk+komptrykk*Diagram!B34^2</f>
        <v>264.73814369339391</v>
      </c>
      <c r="C22">
        <f>-14.5*H26+310</f>
        <v>267.95</v>
      </c>
      <c r="G22" s="32">
        <f>-B21</f>
        <v>-199.24226439248619</v>
      </c>
      <c r="H22" t="str">
        <f>A21</f>
        <v>Kompressor RS300</v>
      </c>
    </row>
    <row r="23" spans="1:10">
      <c r="A23" t="s">
        <v>472</v>
      </c>
      <c r="B23" s="31">
        <f>Diagram!B42+Diagram!B43*komptrykk+komptrykk*Diagram!B44^2</f>
        <v>409.61417590952027</v>
      </c>
      <c r="C23">
        <f>-22*H26+480</f>
        <v>416.2</v>
      </c>
      <c r="G23" s="32">
        <f>-B20</f>
        <v>-98.063731160826492</v>
      </c>
      <c r="H23" t="str">
        <f>A20</f>
        <v>Kompressor RS150</v>
      </c>
    </row>
    <row r="24" spans="1:10">
      <c r="G24" s="32">
        <f>-B19</f>
        <v>-65.171000000000006</v>
      </c>
      <c r="H24" t="str">
        <f>A19</f>
        <v>Kompressor RS90</v>
      </c>
    </row>
    <row r="26" spans="1:10">
      <c r="A26" s="14" t="s">
        <v>531</v>
      </c>
      <c r="G26" t="s">
        <v>504</v>
      </c>
      <c r="H26" s="20">
        <f>B8/10+0.5</f>
        <v>2.9</v>
      </c>
      <c r="I26" t="s">
        <v>209</v>
      </c>
      <c r="J26" s="212">
        <v>0.8</v>
      </c>
    </row>
    <row r="27" spans="1:10">
      <c r="A27" s="14" t="s">
        <v>532</v>
      </c>
    </row>
    <row r="28" spans="1:10">
      <c r="A28" s="14" t="s">
        <v>533</v>
      </c>
      <c r="H28">
        <v>0</v>
      </c>
      <c r="I28" t="s">
        <v>529</v>
      </c>
      <c r="J28">
        <v>72</v>
      </c>
    </row>
    <row r="29" spans="1:10">
      <c r="A29" s="14" t="s">
        <v>534</v>
      </c>
      <c r="H29">
        <v>72</v>
      </c>
      <c r="I29" t="s">
        <v>420</v>
      </c>
      <c r="J29">
        <v>200</v>
      </c>
    </row>
    <row r="30" spans="1:10">
      <c r="A30" s="14" t="s">
        <v>535</v>
      </c>
      <c r="H30">
        <f>J29*$J$26</f>
        <v>160</v>
      </c>
      <c r="I30" t="s">
        <v>428</v>
      </c>
      <c r="J30">
        <v>300</v>
      </c>
    </row>
    <row r="31" spans="1:10">
      <c r="H31">
        <f t="shared" ref="H31:H41" si="0">J30*$J$26</f>
        <v>240</v>
      </c>
      <c r="I31" t="s">
        <v>436</v>
      </c>
      <c r="J31">
        <v>400</v>
      </c>
    </row>
    <row r="32" spans="1:10">
      <c r="H32">
        <f t="shared" si="0"/>
        <v>320</v>
      </c>
      <c r="I32" t="s">
        <v>444</v>
      </c>
      <c r="J32">
        <v>500</v>
      </c>
    </row>
    <row r="33" spans="8:10">
      <c r="H33">
        <f t="shared" si="0"/>
        <v>400</v>
      </c>
      <c r="I33" t="s">
        <v>452</v>
      </c>
      <c r="J33">
        <v>600</v>
      </c>
    </row>
    <row r="34" spans="8:10">
      <c r="H34">
        <f t="shared" si="0"/>
        <v>480</v>
      </c>
      <c r="I34" t="s">
        <v>456</v>
      </c>
      <c r="J34">
        <v>800</v>
      </c>
    </row>
    <row r="35" spans="8:10">
      <c r="H35">
        <f t="shared" si="0"/>
        <v>640</v>
      </c>
      <c r="I35" t="s">
        <v>412</v>
      </c>
      <c r="J35">
        <v>1000</v>
      </c>
    </row>
    <row r="36" spans="8:10">
      <c r="H36">
        <f t="shared" si="0"/>
        <v>800</v>
      </c>
      <c r="I36" t="s">
        <v>416</v>
      </c>
      <c r="J36">
        <v>1500</v>
      </c>
    </row>
    <row r="37" spans="8:10">
      <c r="H37">
        <f t="shared" si="0"/>
        <v>1200</v>
      </c>
      <c r="I37" t="s">
        <v>424</v>
      </c>
      <c r="J37">
        <v>2000</v>
      </c>
    </row>
    <row r="38" spans="8:10">
      <c r="H38">
        <f t="shared" si="0"/>
        <v>1600</v>
      </c>
      <c r="I38" t="s">
        <v>432</v>
      </c>
      <c r="J38">
        <v>3000</v>
      </c>
    </row>
    <row r="39" spans="8:10">
      <c r="H39">
        <f t="shared" si="0"/>
        <v>2400</v>
      </c>
      <c r="I39" t="s">
        <v>440</v>
      </c>
      <c r="J39">
        <v>4000</v>
      </c>
    </row>
    <row r="40" spans="8:10">
      <c r="H40">
        <f t="shared" si="0"/>
        <v>3200</v>
      </c>
      <c r="I40" t="s">
        <v>448</v>
      </c>
      <c r="J40">
        <v>5000</v>
      </c>
    </row>
    <row r="41" spans="8:10">
      <c r="H41">
        <f t="shared" si="0"/>
        <v>4000</v>
      </c>
      <c r="I41" t="s">
        <v>460</v>
      </c>
    </row>
  </sheetData>
  <phoneticPr fontId="0" type="noConversion"/>
  <pageMargins left="0.78740157499999996" right="0.78740157499999996" top="0.984251969" bottom="0.984251969" header="0.5" footer="0.5"/>
  <pageSetup paperSize="9" orientation="portrait" verticalDpi="1200"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7"/>
  <dimension ref="A1:L48"/>
  <sheetViews>
    <sheetView workbookViewId="0">
      <selection activeCell="G17" sqref="G17"/>
    </sheetView>
  </sheetViews>
  <sheetFormatPr baseColWidth="10" defaultColWidth="11.42578125" defaultRowHeight="12.75"/>
  <cols>
    <col min="3" max="3" width="14.7109375" bestFit="1" customWidth="1"/>
    <col min="4" max="6" width="15.7109375" bestFit="1" customWidth="1"/>
    <col min="7" max="12" width="17.28515625" bestFit="1" customWidth="1"/>
  </cols>
  <sheetData>
    <row r="1" spans="1:12">
      <c r="A1" s="4" t="s">
        <v>505</v>
      </c>
    </row>
    <row r="2" spans="1:12">
      <c r="A2" t="s">
        <v>251</v>
      </c>
      <c r="B2" s="27">
        <v>100</v>
      </c>
    </row>
    <row r="3" spans="1:12">
      <c r="A3" t="s">
        <v>252</v>
      </c>
      <c r="B3" s="27">
        <v>-12.5</v>
      </c>
    </row>
    <row r="4" spans="1:12">
      <c r="A4" t="s">
        <v>253</v>
      </c>
      <c r="B4" s="27">
        <v>0.7</v>
      </c>
    </row>
    <row r="5" spans="1:12">
      <c r="A5" t="s">
        <v>506</v>
      </c>
      <c r="B5">
        <v>0</v>
      </c>
      <c r="C5">
        <v>1</v>
      </c>
      <c r="D5">
        <v>2</v>
      </c>
      <c r="E5">
        <v>3</v>
      </c>
      <c r="F5">
        <v>4</v>
      </c>
      <c r="G5">
        <v>5</v>
      </c>
      <c r="H5">
        <v>6</v>
      </c>
      <c r="I5">
        <v>7</v>
      </c>
    </row>
    <row r="6" spans="1:12">
      <c r="A6" t="s">
        <v>507</v>
      </c>
      <c r="B6">
        <v>100</v>
      </c>
      <c r="C6">
        <v>90</v>
      </c>
      <c r="D6">
        <v>78</v>
      </c>
      <c r="E6">
        <v>68</v>
      </c>
      <c r="F6">
        <v>60</v>
      </c>
      <c r="G6">
        <v>55</v>
      </c>
      <c r="H6">
        <v>50</v>
      </c>
      <c r="I6">
        <v>46</v>
      </c>
    </row>
    <row r="7" spans="1:12">
      <c r="B7" s="31">
        <f t="shared" ref="B7:I7" si="0">$B$2+$B$3*B5+$B$4*B5^2</f>
        <v>100</v>
      </c>
      <c r="C7" s="33">
        <f t="shared" si="0"/>
        <v>88.2</v>
      </c>
      <c r="D7" s="31">
        <f t="shared" si="0"/>
        <v>77.8</v>
      </c>
      <c r="E7" s="31">
        <f t="shared" si="0"/>
        <v>68.8</v>
      </c>
      <c r="F7" s="31">
        <f t="shared" si="0"/>
        <v>61.2</v>
      </c>
      <c r="G7" s="31">
        <f t="shared" si="0"/>
        <v>55</v>
      </c>
      <c r="H7" s="31">
        <f t="shared" si="0"/>
        <v>50.2</v>
      </c>
      <c r="I7" s="31">
        <f t="shared" si="0"/>
        <v>46.8</v>
      </c>
    </row>
    <row r="8" spans="1:12">
      <c r="A8" s="34">
        <f>SUM(B8:I8)</f>
        <v>5</v>
      </c>
      <c r="B8" s="31">
        <f t="shared" ref="B8:I8" si="1">ABS(B6-B7)</f>
        <v>0</v>
      </c>
      <c r="C8" s="33">
        <f t="shared" si="1"/>
        <v>1.7999999999999972</v>
      </c>
      <c r="D8" s="31">
        <f t="shared" si="1"/>
        <v>0.20000000000000284</v>
      </c>
      <c r="E8" s="31">
        <f t="shared" si="1"/>
        <v>0.79999999999999716</v>
      </c>
      <c r="F8" s="31">
        <f t="shared" si="1"/>
        <v>1.2000000000000028</v>
      </c>
      <c r="G8" s="31">
        <f t="shared" si="1"/>
        <v>0</v>
      </c>
      <c r="H8" s="31">
        <f t="shared" si="1"/>
        <v>0.20000000000000284</v>
      </c>
      <c r="I8" s="31">
        <f t="shared" si="1"/>
        <v>0.79999999999999716</v>
      </c>
    </row>
    <row r="11" spans="1:12">
      <c r="A11" s="4" t="s">
        <v>508</v>
      </c>
    </row>
    <row r="12" spans="1:12">
      <c r="A12" t="s">
        <v>251</v>
      </c>
      <c r="B12" s="27">
        <v>131.15608574495789</v>
      </c>
    </row>
    <row r="13" spans="1:12">
      <c r="A13" t="s">
        <v>252</v>
      </c>
      <c r="B13" s="27">
        <v>-11.725911773485008</v>
      </c>
    </row>
    <row r="14" spans="1:12">
      <c r="A14" t="s">
        <v>253</v>
      </c>
      <c r="B14" s="27">
        <v>0.5610303203359418</v>
      </c>
    </row>
    <row r="15" spans="1:12">
      <c r="A15" t="s">
        <v>506</v>
      </c>
      <c r="B15">
        <v>0</v>
      </c>
      <c r="C15">
        <v>1</v>
      </c>
      <c r="D15">
        <v>2</v>
      </c>
      <c r="E15">
        <v>3</v>
      </c>
      <c r="F15">
        <v>4</v>
      </c>
      <c r="G15">
        <v>5</v>
      </c>
      <c r="H15">
        <v>6</v>
      </c>
      <c r="I15">
        <v>7</v>
      </c>
      <c r="J15">
        <v>8</v>
      </c>
      <c r="K15">
        <v>9</v>
      </c>
      <c r="L15">
        <v>10</v>
      </c>
    </row>
    <row r="16" spans="1:12">
      <c r="A16" t="s">
        <v>507</v>
      </c>
      <c r="B16">
        <v>134</v>
      </c>
      <c r="C16">
        <v>120</v>
      </c>
      <c r="D16">
        <v>108</v>
      </c>
      <c r="E16">
        <v>99</v>
      </c>
      <c r="F16">
        <v>91</v>
      </c>
      <c r="G16">
        <v>88</v>
      </c>
      <c r="H16">
        <v>81</v>
      </c>
      <c r="I16">
        <v>78</v>
      </c>
      <c r="J16">
        <v>74</v>
      </c>
      <c r="K16">
        <v>71</v>
      </c>
      <c r="L16">
        <v>70</v>
      </c>
    </row>
    <row r="17" spans="1:12">
      <c r="B17" s="31">
        <f t="shared" ref="B17:L17" si="2">$B$12+$B$13*B15+$B$14*B15^2</f>
        <v>131.15608574495789</v>
      </c>
      <c r="C17" s="28">
        <f t="shared" si="2"/>
        <v>119.99120429180883</v>
      </c>
      <c r="D17" s="28">
        <f t="shared" si="2"/>
        <v>109.94838347933164</v>
      </c>
      <c r="E17" s="28">
        <f t="shared" si="2"/>
        <v>101.02762330752635</v>
      </c>
      <c r="F17" s="28">
        <f t="shared" si="2"/>
        <v>93.228923776392918</v>
      </c>
      <c r="G17" s="28">
        <f t="shared" si="2"/>
        <v>86.5522848859314</v>
      </c>
      <c r="H17" s="28">
        <f t="shared" si="2"/>
        <v>80.997706636141757</v>
      </c>
      <c r="I17" s="28">
        <f t="shared" si="2"/>
        <v>76.56518902702399</v>
      </c>
      <c r="J17" s="28">
        <f t="shared" si="2"/>
        <v>73.254732058578099</v>
      </c>
      <c r="K17" s="28">
        <f t="shared" si="2"/>
        <v>71.066335730804099</v>
      </c>
      <c r="L17" s="28">
        <f t="shared" si="2"/>
        <v>70.000000043701988</v>
      </c>
    </row>
    <row r="18" spans="1:12">
      <c r="A18" s="35">
        <f>SUM(B18:L18)</f>
        <v>12.754063693315032</v>
      </c>
      <c r="B18" s="31">
        <f t="shared" ref="B18:L18" si="3">ABS(B16-B17)</f>
        <v>2.8439142550421082</v>
      </c>
      <c r="C18" s="28">
        <f t="shared" si="3"/>
        <v>8.7957081911724799E-3</v>
      </c>
      <c r="D18" s="28">
        <f t="shared" si="3"/>
        <v>1.948383479331639</v>
      </c>
      <c r="E18" s="28">
        <f t="shared" si="3"/>
        <v>2.0276233075263548</v>
      </c>
      <c r="F18" s="28">
        <f t="shared" si="3"/>
        <v>2.2289237763929179</v>
      </c>
      <c r="G18" s="28">
        <f t="shared" si="3"/>
        <v>1.4477151140686004</v>
      </c>
      <c r="H18" s="28">
        <f t="shared" si="3"/>
        <v>2.2933638582429694E-3</v>
      </c>
      <c r="I18" s="28">
        <f t="shared" si="3"/>
        <v>1.4348109729760097</v>
      </c>
      <c r="J18" s="28">
        <f t="shared" si="3"/>
        <v>0.74526794142190056</v>
      </c>
      <c r="K18" s="28">
        <f t="shared" si="3"/>
        <v>6.6335730804098603E-2</v>
      </c>
      <c r="L18" s="28">
        <f t="shared" si="3"/>
        <v>4.3701987806343823E-8</v>
      </c>
    </row>
    <row r="21" spans="1:12">
      <c r="A21" s="4" t="s">
        <v>509</v>
      </c>
    </row>
    <row r="22" spans="1:12">
      <c r="A22" t="s">
        <v>251</v>
      </c>
      <c r="B22" s="27">
        <v>254.23925108669027</v>
      </c>
    </row>
    <row r="23" spans="1:12">
      <c r="A23" t="s">
        <v>252</v>
      </c>
      <c r="B23" s="27">
        <v>-19.499654045997996</v>
      </c>
    </row>
    <row r="24" spans="1:12">
      <c r="A24" t="s">
        <v>253</v>
      </c>
      <c r="B24" s="27">
        <v>0.73155715811055277</v>
      </c>
    </row>
    <row r="25" spans="1:12">
      <c r="A25" t="s">
        <v>506</v>
      </c>
      <c r="B25">
        <v>0</v>
      </c>
      <c r="C25">
        <v>1</v>
      </c>
      <c r="D25">
        <v>2</v>
      </c>
      <c r="E25">
        <v>3</v>
      </c>
      <c r="F25">
        <v>4</v>
      </c>
      <c r="G25">
        <v>5</v>
      </c>
      <c r="H25">
        <v>6</v>
      </c>
      <c r="I25">
        <v>7</v>
      </c>
      <c r="J25">
        <v>8</v>
      </c>
      <c r="K25">
        <v>9</v>
      </c>
      <c r="L25">
        <v>10</v>
      </c>
    </row>
    <row r="26" spans="1:12">
      <c r="A26" t="s">
        <v>507</v>
      </c>
      <c r="B26">
        <v>258</v>
      </c>
      <c r="C26">
        <v>235</v>
      </c>
      <c r="D26">
        <v>220</v>
      </c>
      <c r="E26">
        <v>200</v>
      </c>
      <c r="F26">
        <v>186</v>
      </c>
      <c r="G26">
        <v>175</v>
      </c>
      <c r="H26">
        <v>164</v>
      </c>
      <c r="I26">
        <v>154</v>
      </c>
      <c r="J26">
        <v>146</v>
      </c>
      <c r="K26">
        <v>138</v>
      </c>
      <c r="L26">
        <v>132</v>
      </c>
    </row>
    <row r="27" spans="1:12">
      <c r="B27" s="31">
        <f t="shared" ref="B27:L27" si="4">$B$22+$B$23*B25+$B$24*B25^2</f>
        <v>254.23925108669027</v>
      </c>
      <c r="C27" s="31">
        <f t="shared" si="4"/>
        <v>235.47115419880282</v>
      </c>
      <c r="D27" s="31">
        <f t="shared" si="4"/>
        <v>218.16617162713649</v>
      </c>
      <c r="E27" s="31">
        <f t="shared" si="4"/>
        <v>202.32430337169126</v>
      </c>
      <c r="F27" s="31">
        <f t="shared" si="4"/>
        <v>187.94554943246712</v>
      </c>
      <c r="G27" s="31">
        <f t="shared" si="4"/>
        <v>175.0299098094641</v>
      </c>
      <c r="H27" s="31">
        <f t="shared" si="4"/>
        <v>163.57738450268221</v>
      </c>
      <c r="I27" s="31">
        <f t="shared" si="4"/>
        <v>153.58797351212138</v>
      </c>
      <c r="J27" s="31">
        <f t="shared" si="4"/>
        <v>145.06167683778168</v>
      </c>
      <c r="K27" s="31">
        <f t="shared" si="4"/>
        <v>137.99849447966307</v>
      </c>
      <c r="L27" s="31">
        <f t="shared" si="4"/>
        <v>132.39842643776558</v>
      </c>
    </row>
    <row r="28" spans="1:12">
      <c r="A28" s="35">
        <f>SUM(B28:L28)</f>
        <v>12.538391204115783</v>
      </c>
      <c r="B28" s="31">
        <f t="shared" ref="B28:L28" si="5">ABS(B26-B27)</f>
        <v>3.760748913309726</v>
      </c>
      <c r="C28" s="28">
        <f t="shared" si="5"/>
        <v>0.47115419880282161</v>
      </c>
      <c r="D28" s="28">
        <f t="shared" si="5"/>
        <v>1.8338283728635076</v>
      </c>
      <c r="E28" s="28">
        <f t="shared" si="5"/>
        <v>2.3243033716912578</v>
      </c>
      <c r="F28" s="28">
        <f t="shared" si="5"/>
        <v>1.9455494324671179</v>
      </c>
      <c r="G28" s="28">
        <f t="shared" si="5"/>
        <v>2.9909809464101045E-2</v>
      </c>
      <c r="H28" s="28">
        <f t="shared" si="5"/>
        <v>0.42261549731779269</v>
      </c>
      <c r="I28" s="28">
        <f t="shared" si="5"/>
        <v>0.41202648787862017</v>
      </c>
      <c r="J28" s="28">
        <f t="shared" si="5"/>
        <v>0.93832316221832457</v>
      </c>
      <c r="K28" s="28">
        <f t="shared" si="5"/>
        <v>1.5055203369342962E-3</v>
      </c>
      <c r="L28" s="28">
        <f t="shared" si="5"/>
        <v>0.39842643776557907</v>
      </c>
    </row>
    <row r="31" spans="1:12">
      <c r="A31" s="4" t="s">
        <v>510</v>
      </c>
    </row>
    <row r="32" spans="1:12">
      <c r="A32" t="s">
        <v>251</v>
      </c>
      <c r="B32" s="27">
        <v>334.94930723741527</v>
      </c>
    </row>
    <row r="33" spans="1:12">
      <c r="A33" t="s">
        <v>252</v>
      </c>
      <c r="B33" s="27">
        <v>-25.241114274739687</v>
      </c>
    </row>
    <row r="34" spans="1:12">
      <c r="A34" t="s">
        <v>253</v>
      </c>
      <c r="B34" s="27">
        <v>1.0150705517731999</v>
      </c>
    </row>
    <row r="35" spans="1:12">
      <c r="A35" t="s">
        <v>506</v>
      </c>
      <c r="B35">
        <v>0</v>
      </c>
      <c r="C35">
        <v>1</v>
      </c>
      <c r="D35">
        <v>2</v>
      </c>
      <c r="E35">
        <v>3</v>
      </c>
      <c r="F35">
        <v>4</v>
      </c>
      <c r="G35">
        <v>5</v>
      </c>
      <c r="H35">
        <v>6</v>
      </c>
      <c r="I35">
        <v>7</v>
      </c>
      <c r="J35">
        <v>8</v>
      </c>
      <c r="K35">
        <v>9</v>
      </c>
      <c r="L35">
        <v>10</v>
      </c>
    </row>
    <row r="36" spans="1:12">
      <c r="A36" t="s">
        <v>507</v>
      </c>
      <c r="B36">
        <v>335</v>
      </c>
      <c r="C36">
        <v>310</v>
      </c>
      <c r="D36">
        <v>288</v>
      </c>
      <c r="E36">
        <v>270</v>
      </c>
      <c r="F36">
        <v>250</v>
      </c>
      <c r="G36">
        <v>235</v>
      </c>
      <c r="H36">
        <v>220</v>
      </c>
      <c r="I36">
        <v>208</v>
      </c>
      <c r="J36">
        <v>198</v>
      </c>
      <c r="K36">
        <v>190</v>
      </c>
      <c r="L36">
        <v>182</v>
      </c>
    </row>
    <row r="37" spans="1:12">
      <c r="B37" s="31">
        <f t="shared" ref="B37:L37" si="6">$B$32+$B$33*B35+$B$34*B35^2</f>
        <v>334.94930723741527</v>
      </c>
      <c r="C37" s="31">
        <f t="shared" si="6"/>
        <v>310.72326351444877</v>
      </c>
      <c r="D37" s="31">
        <f t="shared" si="6"/>
        <v>288.52736089502872</v>
      </c>
      <c r="E37" s="31">
        <f t="shared" si="6"/>
        <v>268.361599379155</v>
      </c>
      <c r="F37" s="31">
        <f t="shared" si="6"/>
        <v>250.22597896682771</v>
      </c>
      <c r="G37" s="31">
        <f t="shared" si="6"/>
        <v>234.12049965804684</v>
      </c>
      <c r="H37" s="31">
        <f t="shared" si="6"/>
        <v>220.04516145281235</v>
      </c>
      <c r="I37" s="31">
        <f t="shared" si="6"/>
        <v>207.99996435112428</v>
      </c>
      <c r="J37" s="31">
        <f t="shared" si="6"/>
        <v>197.98490835298259</v>
      </c>
      <c r="K37" s="31">
        <f t="shared" si="6"/>
        <v>189.99999345838728</v>
      </c>
      <c r="L37" s="31">
        <f t="shared" si="6"/>
        <v>184.04521966733842</v>
      </c>
    </row>
    <row r="38" spans="1:12">
      <c r="A38" s="35">
        <f>SUM(B38:L38)</f>
        <v>6.1507120593447269</v>
      </c>
      <c r="B38" s="31">
        <f t="shared" ref="B38:L38" si="7">ABS(B36-B37)</f>
        <v>5.0692762584731099E-2</v>
      </c>
      <c r="C38" s="28">
        <f t="shared" si="7"/>
        <v>0.72326351444877446</v>
      </c>
      <c r="D38" s="28">
        <f t="shared" si="7"/>
        <v>0.52736089502872119</v>
      </c>
      <c r="E38" s="28">
        <f t="shared" si="7"/>
        <v>1.6384006208450046</v>
      </c>
      <c r="F38" s="28">
        <f t="shared" si="7"/>
        <v>0.22597896682771079</v>
      </c>
      <c r="G38" s="28">
        <f t="shared" si="7"/>
        <v>0.87950034195316107</v>
      </c>
      <c r="H38" s="28">
        <f t="shared" si="7"/>
        <v>4.5161452812351399E-2</v>
      </c>
      <c r="I38" s="28">
        <f t="shared" si="7"/>
        <v>3.5648875723381934E-5</v>
      </c>
      <c r="J38" s="28">
        <f t="shared" si="7"/>
        <v>1.5091647017413834E-2</v>
      </c>
      <c r="K38" s="28">
        <f t="shared" si="7"/>
        <v>6.5416127199569019E-6</v>
      </c>
      <c r="L38" s="28">
        <f t="shared" si="7"/>
        <v>2.0452196673384151</v>
      </c>
    </row>
    <row r="41" spans="1:12">
      <c r="A41" s="4" t="s">
        <v>511</v>
      </c>
    </row>
    <row r="42" spans="1:12">
      <c r="A42" t="s">
        <v>251</v>
      </c>
      <c r="B42" s="27">
        <v>504.99179913186993</v>
      </c>
    </row>
    <row r="43" spans="1:12">
      <c r="A43" t="s">
        <v>252</v>
      </c>
      <c r="B43" s="27">
        <v>-34.085739814151395</v>
      </c>
    </row>
    <row r="44" spans="1:12">
      <c r="A44" t="s">
        <v>253</v>
      </c>
      <c r="B44" s="27">
        <v>1.0940311788233987</v>
      </c>
    </row>
    <row r="45" spans="1:12">
      <c r="A45" t="s">
        <v>506</v>
      </c>
      <c r="B45">
        <v>0</v>
      </c>
      <c r="C45">
        <v>1</v>
      </c>
      <c r="D45">
        <v>2</v>
      </c>
      <c r="E45">
        <v>3</v>
      </c>
      <c r="F45">
        <v>4</v>
      </c>
      <c r="G45">
        <v>5</v>
      </c>
      <c r="H45">
        <v>6</v>
      </c>
      <c r="I45">
        <v>7</v>
      </c>
      <c r="J45">
        <v>8</v>
      </c>
      <c r="K45">
        <v>9</v>
      </c>
      <c r="L45">
        <v>10</v>
      </c>
    </row>
    <row r="46" spans="1:12">
      <c r="A46" t="s">
        <v>507</v>
      </c>
      <c r="B46">
        <v>505</v>
      </c>
      <c r="C46">
        <v>472</v>
      </c>
      <c r="D46">
        <v>440</v>
      </c>
      <c r="E46">
        <v>414</v>
      </c>
      <c r="F46">
        <v>386</v>
      </c>
      <c r="G46">
        <v>362</v>
      </c>
      <c r="H46">
        <v>340</v>
      </c>
      <c r="I46">
        <v>320</v>
      </c>
      <c r="J46">
        <v>300</v>
      </c>
      <c r="K46">
        <v>285</v>
      </c>
      <c r="L46">
        <v>280</v>
      </c>
    </row>
    <row r="47" spans="1:12">
      <c r="B47" s="31">
        <f t="shared" ref="B47:L47" si="8">$B$42+$B$43*B45+$B$44*B45^2</f>
        <v>504.99179913186993</v>
      </c>
      <c r="C47" s="31">
        <f t="shared" si="8"/>
        <v>472.00009049654193</v>
      </c>
      <c r="D47" s="31">
        <f t="shared" si="8"/>
        <v>441.19644421886073</v>
      </c>
      <c r="E47" s="31">
        <f t="shared" si="8"/>
        <v>412.58086029882634</v>
      </c>
      <c r="F47" s="31">
        <f t="shared" si="8"/>
        <v>386.15333873643874</v>
      </c>
      <c r="G47" s="31">
        <f t="shared" si="8"/>
        <v>361.91387953169794</v>
      </c>
      <c r="H47" s="31">
        <f t="shared" si="8"/>
        <v>339.86248268460389</v>
      </c>
      <c r="I47" s="31">
        <f t="shared" si="8"/>
        <v>319.99914819515669</v>
      </c>
      <c r="J47" s="31">
        <f t="shared" si="8"/>
        <v>302.32387606335629</v>
      </c>
      <c r="K47" s="31">
        <f t="shared" si="8"/>
        <v>286.83666628920264</v>
      </c>
      <c r="L47" s="31">
        <f t="shared" si="8"/>
        <v>273.53751887269584</v>
      </c>
    </row>
    <row r="48" spans="1:12">
      <c r="A48" s="35">
        <f>SUM(B48:L48)</f>
        <v>13.624727089549708</v>
      </c>
      <c r="B48" s="31">
        <f t="shared" ref="B48:L48" si="9">ABS(B46-B47)</f>
        <v>8.2008681300749231E-3</v>
      </c>
      <c r="C48" s="28">
        <f t="shared" si="9"/>
        <v>9.0496541929496743E-5</v>
      </c>
      <c r="D48" s="28">
        <f t="shared" si="9"/>
        <v>1.1964442188607336</v>
      </c>
      <c r="E48" s="28">
        <f t="shared" si="9"/>
        <v>1.4191397011736626</v>
      </c>
      <c r="F48" s="28">
        <f t="shared" si="9"/>
        <v>0.15333873643874085</v>
      </c>
      <c r="G48" s="28">
        <f t="shared" si="9"/>
        <v>8.6120468302055997E-2</v>
      </c>
      <c r="H48" s="28">
        <f t="shared" si="9"/>
        <v>0.13751731539611001</v>
      </c>
      <c r="I48" s="28">
        <f t="shared" si="9"/>
        <v>8.5180484330749096E-4</v>
      </c>
      <c r="J48" s="28">
        <f t="shared" si="9"/>
        <v>2.3238760633562947</v>
      </c>
      <c r="K48" s="28">
        <f t="shared" si="9"/>
        <v>1.8366662892026397</v>
      </c>
      <c r="L48" s="28">
        <f t="shared" si="9"/>
        <v>6.4624811273041587</v>
      </c>
    </row>
  </sheetData>
  <phoneticPr fontId="0" type="noConversion"/>
  <pageMargins left="0.78740157499999996" right="0.78740157499999996" top="0.984251969" bottom="0.984251969"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8"/>
  <dimension ref="A1:M34"/>
  <sheetViews>
    <sheetView workbookViewId="0">
      <selection activeCell="G12" sqref="G12"/>
    </sheetView>
  </sheetViews>
  <sheetFormatPr baseColWidth="10" defaultColWidth="9.140625" defaultRowHeight="12.75"/>
  <cols>
    <col min="6" max="6" width="11.28515625" bestFit="1" customWidth="1"/>
    <col min="7" max="7" width="11.85546875" bestFit="1" customWidth="1"/>
    <col min="9" max="9" width="11.85546875" bestFit="1" customWidth="1"/>
  </cols>
  <sheetData>
    <row r="1" spans="1:13">
      <c r="B1" s="1" t="s">
        <v>512</v>
      </c>
      <c r="C1" s="6">
        <v>0.3</v>
      </c>
      <c r="D1" s="6">
        <v>0.4</v>
      </c>
      <c r="E1" s="17">
        <v>0.5</v>
      </c>
      <c r="F1" t="s">
        <v>36</v>
      </c>
      <c r="G1" t="s">
        <v>39</v>
      </c>
      <c r="I1" t="s">
        <v>513</v>
      </c>
    </row>
    <row r="2" spans="1:13">
      <c r="A2" s="1">
        <v>-10</v>
      </c>
      <c r="B2" s="1"/>
      <c r="C2" s="6"/>
      <c r="D2" s="6"/>
      <c r="E2" s="17"/>
      <c r="G2" s="56">
        <f>1-(I2/$I$2)</f>
        <v>0</v>
      </c>
      <c r="I2">
        <v>1072</v>
      </c>
    </row>
    <row r="3" spans="1:13">
      <c r="A3" s="1">
        <v>-5</v>
      </c>
      <c r="B3" s="1"/>
      <c r="C3" s="6"/>
      <c r="D3" s="6"/>
      <c r="E3" s="17"/>
      <c r="G3" s="56">
        <f t="shared" ref="G3:G12" si="0">1-(I3/$I$2)</f>
        <v>1.8656716417910779E-3</v>
      </c>
      <c r="I3">
        <v>1070</v>
      </c>
    </row>
    <row r="4" spans="1:13">
      <c r="A4" s="1">
        <v>0</v>
      </c>
      <c r="B4" s="1"/>
      <c r="C4" s="6"/>
      <c r="D4" s="6"/>
      <c r="E4" s="17"/>
      <c r="G4" s="56">
        <f t="shared" si="0"/>
        <v>4.6641791044775838E-3</v>
      </c>
      <c r="I4">
        <v>1067</v>
      </c>
    </row>
    <row r="5" spans="1:13">
      <c r="A5" s="1">
        <v>5</v>
      </c>
      <c r="B5" s="1"/>
      <c r="C5" s="6"/>
      <c r="D5" s="6"/>
      <c r="E5" s="17"/>
      <c r="G5" s="56">
        <f t="shared" si="0"/>
        <v>4.6641791044775838E-3</v>
      </c>
      <c r="I5">
        <v>1067</v>
      </c>
    </row>
    <row r="6" spans="1:13">
      <c r="A6" s="1">
        <v>10</v>
      </c>
      <c r="B6" s="26">
        <v>4.0000000000000002E-4</v>
      </c>
      <c r="C6" s="18">
        <v>3.0000000000000001E-3</v>
      </c>
      <c r="D6" s="18">
        <v>3.0000000000000001E-3</v>
      </c>
      <c r="E6" s="19">
        <v>4.4999999999999997E-3</v>
      </c>
      <c r="F6" s="56">
        <v>4.3E-3</v>
      </c>
      <c r="G6" s="56">
        <f t="shared" si="0"/>
        <v>4.6641791044775838E-3</v>
      </c>
      <c r="I6">
        <v>1067</v>
      </c>
    </row>
    <row r="7" spans="1:13">
      <c r="A7" s="1">
        <v>15</v>
      </c>
      <c r="B7" s="25">
        <v>1E-3</v>
      </c>
      <c r="C7" s="18">
        <v>5.0000000000000001E-3</v>
      </c>
      <c r="D7" s="18">
        <v>4.0000000000000001E-3</v>
      </c>
      <c r="E7" s="19">
        <v>7.4999999999999997E-3</v>
      </c>
      <c r="F7" s="56">
        <v>7.9000000000000008E-3</v>
      </c>
      <c r="G7" s="56">
        <f t="shared" si="0"/>
        <v>7.4626865671642006E-3</v>
      </c>
      <c r="I7">
        <v>1064</v>
      </c>
    </row>
    <row r="8" spans="1:13">
      <c r="A8" s="1">
        <v>20</v>
      </c>
      <c r="B8" s="25">
        <v>1.8E-3</v>
      </c>
      <c r="C8" s="18">
        <v>7.0000000000000001E-3</v>
      </c>
      <c r="D8" s="18">
        <v>8.0000000000000002E-3</v>
      </c>
      <c r="E8" s="19">
        <v>9.4999999999999998E-3</v>
      </c>
      <c r="F8" s="56">
        <v>1.14E-2</v>
      </c>
      <c r="G8" s="56">
        <f t="shared" si="0"/>
        <v>7.4626865671642006E-3</v>
      </c>
      <c r="I8">
        <v>1064</v>
      </c>
    </row>
    <row r="9" spans="1:13">
      <c r="A9" s="1">
        <v>25</v>
      </c>
      <c r="B9" s="25">
        <v>3.0000000000000001E-3</v>
      </c>
      <c r="C9" s="18">
        <v>9.0000000000000011E-3</v>
      </c>
      <c r="D9" s="18">
        <v>1.0999999999999999E-2</v>
      </c>
      <c r="E9" s="19">
        <v>1.2500000000000001E-2</v>
      </c>
      <c r="F9" s="56">
        <v>1.4999999999999999E-2</v>
      </c>
      <c r="G9" s="56">
        <f t="shared" si="0"/>
        <v>9.3283582089552786E-3</v>
      </c>
      <c r="I9">
        <v>1062</v>
      </c>
    </row>
    <row r="10" spans="1:13">
      <c r="A10" s="1">
        <v>30</v>
      </c>
      <c r="B10" s="26">
        <v>4.4000000000000003E-3</v>
      </c>
      <c r="C10" s="18">
        <v>1.0999999999999999E-2</v>
      </c>
      <c r="D10" s="18">
        <v>1.4E-2</v>
      </c>
      <c r="E10" s="19">
        <v>1.4999999999999999E-2</v>
      </c>
      <c r="F10" s="56">
        <v>1.8599999999999998E-2</v>
      </c>
      <c r="G10" s="56">
        <f t="shared" si="0"/>
        <v>9.3283582089552786E-3</v>
      </c>
      <c r="I10">
        <v>1062</v>
      </c>
    </row>
    <row r="11" spans="1:13">
      <c r="A11" s="1">
        <v>35</v>
      </c>
      <c r="B11" s="26">
        <v>6.1000000000000004E-3</v>
      </c>
      <c r="C11" s="18">
        <v>1.3000000000000001E-2</v>
      </c>
      <c r="D11" s="18">
        <v>1.7000000000000001E-2</v>
      </c>
      <c r="E11" s="19">
        <v>1.7999999999999999E-2</v>
      </c>
      <c r="F11" s="56">
        <v>2.2100000000000002E-2</v>
      </c>
      <c r="G11" s="56">
        <f t="shared" si="0"/>
        <v>9.3283582089552786E-3</v>
      </c>
      <c r="I11">
        <v>1062</v>
      </c>
    </row>
    <row r="12" spans="1:13">
      <c r="A12" s="1">
        <v>40</v>
      </c>
      <c r="B12" s="26">
        <v>7.9000000000000008E-3</v>
      </c>
      <c r="C12" s="18">
        <v>1.4999999999999999E-2</v>
      </c>
      <c r="D12" s="18">
        <v>0.02</v>
      </c>
      <c r="E12" s="19">
        <v>2.1000000000000001E-2</v>
      </c>
      <c r="F12" s="56">
        <v>2.5700000000000001E-2</v>
      </c>
      <c r="G12" s="56">
        <f t="shared" si="0"/>
        <v>9.3283582089552786E-3</v>
      </c>
      <c r="I12">
        <v>1062</v>
      </c>
    </row>
    <row r="13" spans="1:13">
      <c r="A13" s="1">
        <v>45</v>
      </c>
      <c r="B13" s="26">
        <v>9.9000000000000008E-3</v>
      </c>
      <c r="C13" s="18">
        <v>1.7000000000000001E-2</v>
      </c>
      <c r="D13" s="18">
        <v>2.3000000000000003E-2</v>
      </c>
      <c r="E13" s="19">
        <v>2.3E-2</v>
      </c>
      <c r="F13" s="56">
        <v>2.93E-2</v>
      </c>
      <c r="G13" s="44">
        <v>100000</v>
      </c>
    </row>
    <row r="14" spans="1:13">
      <c r="A14" s="1">
        <v>50</v>
      </c>
      <c r="B14" s="26">
        <v>1.21E-2</v>
      </c>
      <c r="C14" s="18">
        <v>2.1000000000000001E-2</v>
      </c>
      <c r="D14" s="18">
        <v>2.6000000000000006E-2</v>
      </c>
      <c r="E14" s="19">
        <v>2.7E-2</v>
      </c>
      <c r="F14" s="56">
        <v>3.2899999999999999E-2</v>
      </c>
      <c r="G14" s="44">
        <v>100000</v>
      </c>
    </row>
    <row r="15" spans="1:13">
      <c r="A15" s="1">
        <v>55</v>
      </c>
      <c r="B15" s="26">
        <v>1.46E-2</v>
      </c>
      <c r="C15" s="18">
        <v>2.3E-2</v>
      </c>
      <c r="D15" s="18">
        <v>2.9000000000000008E-2</v>
      </c>
      <c r="E15" s="19">
        <v>0.03</v>
      </c>
      <c r="F15" s="56">
        <v>3.6400000000000002E-2</v>
      </c>
      <c r="G15" s="44">
        <v>100000</v>
      </c>
    </row>
    <row r="16" spans="1:13">
      <c r="A16" s="1">
        <v>60</v>
      </c>
      <c r="B16" s="26">
        <v>1.7100000000000001E-2</v>
      </c>
      <c r="C16" s="18">
        <v>2.7E-2</v>
      </c>
      <c r="D16" s="18">
        <v>3.2000000000000015E-2</v>
      </c>
      <c r="E16" s="19">
        <v>3.4000000000000002E-2</v>
      </c>
      <c r="F16" s="56">
        <v>0.04</v>
      </c>
      <c r="G16" s="44">
        <v>100000</v>
      </c>
      <c r="I16" s="56"/>
      <c r="J16" s="56"/>
      <c r="L16" s="25"/>
      <c r="M16" s="25"/>
    </row>
    <row r="17" spans="1:13">
      <c r="A17" s="1">
        <v>65</v>
      </c>
      <c r="B17" s="26">
        <v>1.9900000000000001E-2</v>
      </c>
      <c r="C17" s="18">
        <v>0.03</v>
      </c>
      <c r="D17" s="18">
        <v>3.5000000000000003E-2</v>
      </c>
      <c r="E17" s="19">
        <v>3.6999999999999998E-2</v>
      </c>
      <c r="F17" s="56">
        <v>4.36E-2</v>
      </c>
      <c r="G17" s="44">
        <v>100000</v>
      </c>
      <c r="I17" s="56"/>
      <c r="J17" s="56"/>
      <c r="L17" s="25"/>
      <c r="M17" s="25"/>
    </row>
    <row r="18" spans="1:13">
      <c r="A18" s="1">
        <v>70</v>
      </c>
      <c r="B18" s="26">
        <v>2.2800000000000001E-2</v>
      </c>
      <c r="C18" s="18">
        <v>3.3000000000000002E-2</v>
      </c>
      <c r="D18" s="18">
        <v>3.800000000000002E-2</v>
      </c>
      <c r="E18" s="19">
        <v>4.1000000000000002E-2</v>
      </c>
      <c r="F18" s="56">
        <v>4.7100000000000003E-2</v>
      </c>
      <c r="G18" s="44">
        <v>100000</v>
      </c>
      <c r="I18" s="56"/>
      <c r="J18" s="56"/>
      <c r="L18" s="25"/>
      <c r="M18" s="25"/>
    </row>
    <row r="19" spans="1:13">
      <c r="A19" s="1">
        <v>75</v>
      </c>
      <c r="B19" s="26">
        <v>2.58E-2</v>
      </c>
      <c r="C19" s="18">
        <v>3.5000000000000003E-2</v>
      </c>
      <c r="D19" s="18">
        <v>4.1000000000000023E-2</v>
      </c>
      <c r="E19" s="19">
        <v>4.2999999999999997E-2</v>
      </c>
      <c r="F19" s="56">
        <v>5.0700000000000002E-2</v>
      </c>
      <c r="G19" s="44">
        <v>100000</v>
      </c>
      <c r="I19" s="56"/>
      <c r="J19" s="56"/>
      <c r="L19" s="25"/>
      <c r="M19" s="25"/>
    </row>
    <row r="20" spans="1:13">
      <c r="A20" s="1">
        <v>80</v>
      </c>
      <c r="B20" s="26">
        <v>2.9000000000000001E-2</v>
      </c>
      <c r="C20" s="18">
        <v>3.7999999999999999E-2</v>
      </c>
      <c r="D20" s="18">
        <v>4.4000000000000025E-2</v>
      </c>
      <c r="E20" s="19">
        <v>4.7E-2</v>
      </c>
      <c r="F20" s="56">
        <v>5.4300000000000001E-2</v>
      </c>
      <c r="G20" s="44">
        <v>100000</v>
      </c>
      <c r="I20" s="56"/>
      <c r="J20" s="56"/>
      <c r="L20" s="25"/>
      <c r="M20" s="25"/>
    </row>
    <row r="21" spans="1:13">
      <c r="A21" s="1">
        <v>85</v>
      </c>
      <c r="B21" s="26">
        <v>3.2300000000000002E-2</v>
      </c>
      <c r="C21" s="18">
        <v>4.1000000000000002E-2</v>
      </c>
      <c r="D21" s="18">
        <v>4.7000000000000028E-2</v>
      </c>
      <c r="E21" s="19">
        <v>0.05</v>
      </c>
      <c r="F21" s="56">
        <v>5.79E-2</v>
      </c>
      <c r="G21" s="44">
        <v>100000</v>
      </c>
    </row>
    <row r="22" spans="1:13">
      <c r="A22" s="1">
        <v>90</v>
      </c>
      <c r="B22" s="26">
        <v>3.5900000000000001E-2</v>
      </c>
      <c r="C22" s="18">
        <v>4.2999999999999997E-2</v>
      </c>
      <c r="D22" s="18">
        <v>0.05</v>
      </c>
      <c r="E22" s="19">
        <v>5.3999999999999999E-2</v>
      </c>
      <c r="F22" s="44">
        <v>100000</v>
      </c>
      <c r="G22" s="44">
        <v>100000</v>
      </c>
    </row>
    <row r="23" spans="1:13">
      <c r="A23" s="1">
        <v>95</v>
      </c>
      <c r="B23" s="26">
        <v>3.95E-2</v>
      </c>
      <c r="C23" s="18">
        <v>4.7E-2</v>
      </c>
      <c r="D23" s="18">
        <v>5.3000000000000033E-2</v>
      </c>
      <c r="E23" s="19">
        <v>5.7000000000000002E-2</v>
      </c>
      <c r="F23" s="44">
        <v>100000</v>
      </c>
      <c r="G23" s="44">
        <v>100000</v>
      </c>
    </row>
    <row r="24" spans="1:13">
      <c r="A24" s="1">
        <v>100</v>
      </c>
      <c r="B24" s="26">
        <v>4.3499999999999997E-2</v>
      </c>
      <c r="C24" s="18">
        <v>0.05</v>
      </c>
      <c r="D24" s="18">
        <v>5.6000000000000036E-2</v>
      </c>
      <c r="E24" s="19">
        <v>6.0999999999999999E-2</v>
      </c>
      <c r="F24" s="44">
        <v>100000</v>
      </c>
      <c r="G24" s="44">
        <v>100000</v>
      </c>
    </row>
    <row r="25" spans="1:13">
      <c r="A25" s="1">
        <v>105</v>
      </c>
      <c r="B25" s="56">
        <v>4.7399999999999998E-2</v>
      </c>
    </row>
    <row r="26" spans="1:13">
      <c r="A26" s="1">
        <v>110</v>
      </c>
      <c r="B26" s="56">
        <v>5.1499999999999997E-2</v>
      </c>
    </row>
    <row r="27" spans="1:13">
      <c r="A27" s="1">
        <v>120</v>
      </c>
      <c r="B27" s="56">
        <v>6.0299999999999999E-2</v>
      </c>
    </row>
    <row r="28" spans="1:13">
      <c r="A28" s="1">
        <v>130</v>
      </c>
      <c r="B28" s="56">
        <v>6.9599999999999995E-2</v>
      </c>
    </row>
    <row r="29" spans="1:13">
      <c r="A29" s="1">
        <v>140</v>
      </c>
      <c r="B29" s="56">
        <v>7.9600000000000004E-2</v>
      </c>
    </row>
    <row r="30" spans="1:13">
      <c r="A30" s="1">
        <v>150</v>
      </c>
      <c r="B30" s="56">
        <v>9.0300000000000005E-2</v>
      </c>
    </row>
    <row r="31" spans="1:13">
      <c r="A31" s="1">
        <v>160</v>
      </c>
      <c r="B31" s="56">
        <v>0.10199999999999999</v>
      </c>
    </row>
    <row r="32" spans="1:13">
      <c r="A32" s="1"/>
    </row>
    <row r="33" spans="1:2">
      <c r="A33" s="1"/>
    </row>
    <row r="34" spans="1:2">
      <c r="B34" s="14"/>
    </row>
  </sheetData>
  <phoneticPr fontId="0" type="noConversion"/>
  <printOptions gridLines="1" gridLinesSet="0"/>
  <pageMargins left="0.78740157499999996" right="0.78740157499999996" top="0.984251969" bottom="0.984251969" header="0.5" footer="0.5"/>
  <pageSetup paperSize="9" orientation="portrait" verticalDpi="1200" r:id="rId1"/>
  <headerFooter alignWithMargins="0">
    <oddHeader>&amp;A</oddHeader>
    <oddFooter>Side &amp;P</oddFooter>
  </headerFooter>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1"/>
  <dimension ref="A2:K42"/>
  <sheetViews>
    <sheetView workbookViewId="0">
      <selection activeCell="C3" sqref="C3"/>
    </sheetView>
  </sheetViews>
  <sheetFormatPr baseColWidth="10" defaultColWidth="11.42578125" defaultRowHeight="12.75"/>
  <cols>
    <col min="2" max="2" width="17" bestFit="1" customWidth="1"/>
    <col min="4" max="4" width="15.28515625" customWidth="1"/>
  </cols>
  <sheetData>
    <row r="2" spans="1:11">
      <c r="E2" s="14"/>
      <c r="F2" s="14"/>
    </row>
    <row r="3" spans="1:11">
      <c r="B3" s="14" t="s">
        <v>514</v>
      </c>
      <c r="C3">
        <f>Effekt</f>
        <v>5000</v>
      </c>
      <c r="D3" s="14" t="s">
        <v>288</v>
      </c>
      <c r="E3" s="14"/>
    </row>
    <row r="4" spans="1:11">
      <c r="B4" s="14" t="s">
        <v>207</v>
      </c>
      <c r="C4">
        <f>Varme!E12</f>
        <v>24</v>
      </c>
      <c r="D4" s="14" t="s">
        <v>38</v>
      </c>
    </row>
    <row r="5" spans="1:11">
      <c r="B5" s="14" t="s">
        <v>515</v>
      </c>
      <c r="C5">
        <f>C4/10</f>
        <v>2.4</v>
      </c>
      <c r="D5" s="14" t="s">
        <v>209</v>
      </c>
    </row>
    <row r="6" spans="1:11">
      <c r="B6" s="14" t="s">
        <v>317</v>
      </c>
      <c r="C6" s="37">
        <f>ekspansjon</f>
        <v>64.5</v>
      </c>
      <c r="D6" s="14" t="s">
        <v>23</v>
      </c>
    </row>
    <row r="7" spans="1:11">
      <c r="B7" s="14" t="s">
        <v>516</v>
      </c>
      <c r="C7" t="str">
        <f>VLOOKUP(C6,B30:C42,2)</f>
        <v>Variomat 200</v>
      </c>
      <c r="D7" s="14"/>
    </row>
    <row r="8" spans="1:11">
      <c r="B8" s="14" t="s">
        <v>55</v>
      </c>
      <c r="C8" t="str">
        <f>IFERROR(VLOOKUP(K10,A13:C24,3,FALSE),C13)</f>
        <v>VS2-2/60</v>
      </c>
      <c r="D8" s="14"/>
    </row>
    <row r="9" spans="1:11">
      <c r="B9" s="14"/>
      <c r="D9" s="14"/>
    </row>
    <row r="10" spans="1:11">
      <c r="A10" s="14" t="s">
        <v>517</v>
      </c>
      <c r="B10" s="14"/>
      <c r="D10" s="14"/>
      <c r="K10" s="158">
        <f>SUM(K13:K24)</f>
        <v>3.2727272727272729</v>
      </c>
    </row>
    <row r="12" spans="1:11">
      <c r="A12" s="14" t="s">
        <v>518</v>
      </c>
      <c r="B12" s="14" t="s">
        <v>519</v>
      </c>
      <c r="C12" s="14" t="s">
        <v>55</v>
      </c>
      <c r="D12" s="14" t="s">
        <v>520</v>
      </c>
      <c r="E12" s="14" t="s">
        <v>521</v>
      </c>
      <c r="F12" s="14" t="s">
        <v>522</v>
      </c>
      <c r="G12" s="14" t="s">
        <v>523</v>
      </c>
      <c r="H12" s="109" t="s">
        <v>524</v>
      </c>
      <c r="I12" s="14" t="s">
        <v>525</v>
      </c>
      <c r="J12" s="14" t="s">
        <v>526</v>
      </c>
      <c r="K12" s="14" t="s">
        <v>524</v>
      </c>
    </row>
    <row r="13" spans="1:11">
      <c r="A13">
        <v>0</v>
      </c>
      <c r="B13">
        <v>1</v>
      </c>
      <c r="C13" s="14" t="s">
        <v>463</v>
      </c>
      <c r="D13">
        <v>2.2000000000000002</v>
      </c>
      <c r="E13">
        <v>2.5</v>
      </c>
      <c r="F13">
        <v>3.5</v>
      </c>
      <c r="G13">
        <v>3.5</v>
      </c>
      <c r="H13" s="62">
        <f t="shared" ref="H13:H24" si="0">F13-(F13/G13)*Effekt/1000</f>
        <v>-1.5</v>
      </c>
      <c r="I13">
        <f t="shared" ref="I13:I24" si="1">IF(D13&gt;=Effekt/1000,1,0)</f>
        <v>0</v>
      </c>
      <c r="J13">
        <f>IF($C$5&gt;H13,0,1)</f>
        <v>0</v>
      </c>
      <c r="K13" s="44">
        <f>MIN(H13*I13*J13,E13)</f>
        <v>0</v>
      </c>
    </row>
    <row r="14" spans="1:11">
      <c r="A14" s="111">
        <f>K14</f>
        <v>0</v>
      </c>
      <c r="B14">
        <v>2</v>
      </c>
      <c r="C14" s="14" t="s">
        <v>474</v>
      </c>
      <c r="D14">
        <v>4</v>
      </c>
      <c r="E14">
        <v>4.8</v>
      </c>
      <c r="F14">
        <v>5.9</v>
      </c>
      <c r="G14">
        <v>5.3</v>
      </c>
      <c r="H14" s="62">
        <f t="shared" si="0"/>
        <v>0.33396226415094254</v>
      </c>
      <c r="I14">
        <f t="shared" si="1"/>
        <v>0</v>
      </c>
      <c r="J14">
        <f>IF($C$5&gt;H14,0,1)</f>
        <v>0</v>
      </c>
      <c r="K14" s="44">
        <f>IF(SUM($K$13:K13)&lt;&gt;0,0,MIN(H14*I14*J14,E14))</f>
        <v>0</v>
      </c>
    </row>
    <row r="15" spans="1:11">
      <c r="A15" s="111">
        <f t="shared" ref="A15:A24" si="2">K15</f>
        <v>0</v>
      </c>
      <c r="B15">
        <v>3</v>
      </c>
      <c r="C15" s="14" t="s">
        <v>478</v>
      </c>
      <c r="D15">
        <v>4</v>
      </c>
      <c r="E15">
        <v>6.5</v>
      </c>
      <c r="F15">
        <v>7.9</v>
      </c>
      <c r="G15">
        <v>5.8</v>
      </c>
      <c r="H15" s="62">
        <f t="shared" si="0"/>
        <v>1.0896551724137931</v>
      </c>
      <c r="I15">
        <f t="shared" si="1"/>
        <v>0</v>
      </c>
      <c r="J15">
        <f>IF($C$5&gt;H15,0,1)</f>
        <v>0</v>
      </c>
      <c r="K15" s="44">
        <f>IF(SUM($K$13:K14)&lt;&gt;0,0,MIN(H15*I15*J15,E15))</f>
        <v>0</v>
      </c>
    </row>
    <row r="16" spans="1:11">
      <c r="A16" s="111">
        <f t="shared" si="2"/>
        <v>0</v>
      </c>
      <c r="B16">
        <v>4</v>
      </c>
      <c r="C16" s="14" t="s">
        <v>480</v>
      </c>
      <c r="D16">
        <v>4</v>
      </c>
      <c r="E16">
        <v>8</v>
      </c>
      <c r="F16">
        <v>9.6</v>
      </c>
      <c r="G16">
        <v>6.7</v>
      </c>
      <c r="H16" s="62">
        <f t="shared" si="0"/>
        <v>2.4358208955223875</v>
      </c>
      <c r="I16">
        <f t="shared" si="1"/>
        <v>0</v>
      </c>
      <c r="J16">
        <f t="shared" ref="J16:J24" si="3">IF($C$5&gt;H16,0,1)</f>
        <v>1</v>
      </c>
      <c r="K16" s="44">
        <f>IF(SUM($K$13:K15)&lt;&gt;0,0,MIN(H16*I16*J16,E16))</f>
        <v>0</v>
      </c>
    </row>
    <row r="17" spans="1:11">
      <c r="A17" s="111">
        <f t="shared" si="2"/>
        <v>0</v>
      </c>
      <c r="B17">
        <v>5</v>
      </c>
      <c r="C17" s="14" t="s">
        <v>482</v>
      </c>
      <c r="D17">
        <v>4</v>
      </c>
      <c r="E17">
        <v>2.5</v>
      </c>
      <c r="F17">
        <v>4</v>
      </c>
      <c r="G17">
        <v>6</v>
      </c>
      <c r="H17" s="62">
        <f t="shared" si="0"/>
        <v>0.66666666666666696</v>
      </c>
      <c r="I17">
        <f t="shared" si="1"/>
        <v>0</v>
      </c>
      <c r="J17">
        <f t="shared" si="3"/>
        <v>0</v>
      </c>
      <c r="K17" s="44">
        <f>IF(SUM($K$13:K16)&lt;&gt;0,0,MIN(H17*I17*J17,E17))</f>
        <v>0</v>
      </c>
    </row>
    <row r="18" spans="1:11">
      <c r="A18" s="111">
        <f t="shared" si="2"/>
        <v>3.2727272727272729</v>
      </c>
      <c r="B18">
        <v>6</v>
      </c>
      <c r="C18" s="14" t="s">
        <v>485</v>
      </c>
      <c r="D18">
        <v>8</v>
      </c>
      <c r="E18">
        <v>4.8</v>
      </c>
      <c r="F18">
        <v>6</v>
      </c>
      <c r="G18">
        <v>11</v>
      </c>
      <c r="H18" s="62">
        <f t="shared" si="0"/>
        <v>3.2727272727272729</v>
      </c>
      <c r="I18">
        <f t="shared" si="1"/>
        <v>1</v>
      </c>
      <c r="J18">
        <f t="shared" si="3"/>
        <v>1</v>
      </c>
      <c r="K18" s="44">
        <f>IF(SUM($K$13:K17)&lt;&gt;0,0,MIN(H18*I18*J18,E18))</f>
        <v>3.2727272727272729</v>
      </c>
    </row>
    <row r="19" spans="1:11">
      <c r="A19" s="111">
        <f t="shared" si="2"/>
        <v>0</v>
      </c>
      <c r="B19">
        <v>7</v>
      </c>
      <c r="C19" s="14" t="s">
        <v>487</v>
      </c>
      <c r="D19">
        <v>8</v>
      </c>
      <c r="E19">
        <v>6.5</v>
      </c>
      <c r="F19">
        <v>8</v>
      </c>
      <c r="G19">
        <v>12</v>
      </c>
      <c r="H19" s="62">
        <f t="shared" si="0"/>
        <v>4.666666666666667</v>
      </c>
      <c r="I19">
        <f t="shared" si="1"/>
        <v>1</v>
      </c>
      <c r="J19">
        <f t="shared" si="3"/>
        <v>1</v>
      </c>
      <c r="K19" s="44">
        <f>IF(SUM($K$13:K18)&lt;&gt;0,0,MIN(H19*I19*J19,E19))</f>
        <v>0</v>
      </c>
    </row>
    <row r="20" spans="1:11">
      <c r="A20" s="111">
        <f t="shared" si="2"/>
        <v>0</v>
      </c>
      <c r="B20">
        <v>8</v>
      </c>
      <c r="C20" s="14" t="s">
        <v>490</v>
      </c>
      <c r="D20">
        <v>8</v>
      </c>
      <c r="E20">
        <v>8</v>
      </c>
      <c r="F20">
        <v>10</v>
      </c>
      <c r="G20">
        <v>13</v>
      </c>
      <c r="H20" s="62">
        <f t="shared" si="0"/>
        <v>6.1538461538461533</v>
      </c>
      <c r="I20">
        <f t="shared" si="1"/>
        <v>1</v>
      </c>
      <c r="J20">
        <f t="shared" si="3"/>
        <v>1</v>
      </c>
      <c r="K20" s="44">
        <f>IF(SUM($K$13:K19)&lt;&gt;0,0,MIN(H20*I20*J20,E20))</f>
        <v>0</v>
      </c>
    </row>
    <row r="21" spans="1:11">
      <c r="A21" s="111">
        <f t="shared" si="2"/>
        <v>0</v>
      </c>
      <c r="B21">
        <v>9</v>
      </c>
      <c r="C21" s="14" t="s">
        <v>489</v>
      </c>
      <c r="D21">
        <v>10</v>
      </c>
      <c r="E21">
        <v>6.5</v>
      </c>
      <c r="F21">
        <v>7.2</v>
      </c>
      <c r="G21">
        <v>23</v>
      </c>
      <c r="H21" s="62">
        <f t="shared" si="0"/>
        <v>5.6347826086956525</v>
      </c>
      <c r="I21">
        <f t="shared" si="1"/>
        <v>1</v>
      </c>
      <c r="J21">
        <f t="shared" si="3"/>
        <v>1</v>
      </c>
      <c r="K21" s="44">
        <f>IF(SUM($K$13:K20)&lt;&gt;0,0,MIN(H21*I21*J21,E21))</f>
        <v>0</v>
      </c>
    </row>
    <row r="22" spans="1:11">
      <c r="A22" s="111">
        <f t="shared" si="2"/>
        <v>0</v>
      </c>
      <c r="B22">
        <v>10</v>
      </c>
      <c r="C22" s="14" t="s">
        <v>492</v>
      </c>
      <c r="D22">
        <v>10</v>
      </c>
      <c r="E22">
        <v>8</v>
      </c>
      <c r="F22">
        <v>8.9</v>
      </c>
      <c r="G22">
        <v>26.7</v>
      </c>
      <c r="H22" s="62">
        <f t="shared" si="0"/>
        <v>7.2333333333333334</v>
      </c>
      <c r="I22">
        <f t="shared" si="1"/>
        <v>1</v>
      </c>
      <c r="J22">
        <f t="shared" si="3"/>
        <v>1</v>
      </c>
      <c r="K22" s="44">
        <f>IF(SUM($K$13:K21)&lt;&gt;0,0,MIN(H22*I22*J22,E22))</f>
        <v>0</v>
      </c>
    </row>
    <row r="23" spans="1:11">
      <c r="A23" s="111">
        <f t="shared" si="2"/>
        <v>0</v>
      </c>
      <c r="B23">
        <v>11</v>
      </c>
      <c r="C23" s="14" t="s">
        <v>467</v>
      </c>
      <c r="D23">
        <v>4</v>
      </c>
      <c r="E23">
        <v>13.5</v>
      </c>
      <c r="F23">
        <v>14</v>
      </c>
      <c r="G23">
        <v>14</v>
      </c>
      <c r="H23" s="62">
        <f t="shared" si="0"/>
        <v>9</v>
      </c>
      <c r="I23">
        <f t="shared" si="1"/>
        <v>0</v>
      </c>
      <c r="J23">
        <f t="shared" si="3"/>
        <v>1</v>
      </c>
      <c r="K23" s="44">
        <f>IF(SUM($K$13:K22)&lt;&gt;0,0,MIN(H23*I23*J23,E23))</f>
        <v>0</v>
      </c>
    </row>
    <row r="24" spans="1:11">
      <c r="A24" s="111">
        <f t="shared" si="2"/>
        <v>0</v>
      </c>
      <c r="B24">
        <v>12</v>
      </c>
      <c r="C24" s="14" t="s">
        <v>471</v>
      </c>
      <c r="D24">
        <v>8</v>
      </c>
      <c r="E24">
        <v>13.5</v>
      </c>
      <c r="F24">
        <v>13.7</v>
      </c>
      <c r="G24">
        <v>34</v>
      </c>
      <c r="H24" s="62">
        <f t="shared" si="0"/>
        <v>11.685294117647057</v>
      </c>
      <c r="I24">
        <f t="shared" si="1"/>
        <v>1</v>
      </c>
      <c r="J24">
        <f t="shared" si="3"/>
        <v>1</v>
      </c>
      <c r="K24" s="44">
        <f>IF(SUM($K$13:K23)&lt;&gt;0,0,MIN(H24*I24*J24,E24))</f>
        <v>0</v>
      </c>
    </row>
    <row r="25" spans="1:11">
      <c r="A25" s="14"/>
      <c r="B25" s="14"/>
      <c r="C25" s="14"/>
      <c r="D25" s="14"/>
      <c r="E25" s="14"/>
      <c r="F25" s="14"/>
      <c r="G25" s="14"/>
      <c r="H25" s="109"/>
    </row>
    <row r="27" spans="1:11">
      <c r="D27" s="212">
        <v>0.8</v>
      </c>
    </row>
    <row r="29" spans="1:11">
      <c r="C29" s="4" t="s">
        <v>527</v>
      </c>
    </row>
    <row r="30" spans="1:11">
      <c r="B30">
        <v>0</v>
      </c>
      <c r="C30" s="14" t="s">
        <v>422</v>
      </c>
      <c r="D30">
        <v>200</v>
      </c>
    </row>
    <row r="31" spans="1:11">
      <c r="B31">
        <f>D30*$D$27</f>
        <v>160</v>
      </c>
      <c r="C31" s="14" t="s">
        <v>430</v>
      </c>
      <c r="D31">
        <v>300</v>
      </c>
    </row>
    <row r="32" spans="1:11">
      <c r="B32">
        <f t="shared" ref="B32:B42" si="4">D31*$D$27</f>
        <v>240</v>
      </c>
      <c r="C32" s="14" t="s">
        <v>438</v>
      </c>
      <c r="D32">
        <v>400</v>
      </c>
    </row>
    <row r="33" spans="2:4">
      <c r="B33">
        <f t="shared" si="4"/>
        <v>320</v>
      </c>
      <c r="C33" s="14" t="s">
        <v>446</v>
      </c>
      <c r="D33">
        <v>500</v>
      </c>
    </row>
    <row r="34" spans="2:4">
      <c r="B34">
        <f t="shared" si="4"/>
        <v>400</v>
      </c>
      <c r="C34" s="14" t="s">
        <v>454</v>
      </c>
      <c r="D34">
        <v>600</v>
      </c>
    </row>
    <row r="35" spans="2:4">
      <c r="B35">
        <f t="shared" si="4"/>
        <v>480</v>
      </c>
      <c r="C35" t="s">
        <v>458</v>
      </c>
      <c r="D35">
        <v>800</v>
      </c>
    </row>
    <row r="36" spans="2:4">
      <c r="B36">
        <f t="shared" si="4"/>
        <v>640</v>
      </c>
      <c r="C36" t="s">
        <v>414</v>
      </c>
      <c r="D36">
        <v>1000</v>
      </c>
    </row>
    <row r="37" spans="2:4">
      <c r="B37">
        <f t="shared" si="4"/>
        <v>800</v>
      </c>
      <c r="C37" t="s">
        <v>418</v>
      </c>
      <c r="D37">
        <v>1500</v>
      </c>
    </row>
    <row r="38" spans="2:4">
      <c r="B38">
        <f t="shared" si="4"/>
        <v>1200</v>
      </c>
      <c r="C38" t="s">
        <v>426</v>
      </c>
      <c r="D38">
        <v>2000</v>
      </c>
    </row>
    <row r="39" spans="2:4">
      <c r="B39">
        <f t="shared" si="4"/>
        <v>1600</v>
      </c>
      <c r="C39" t="s">
        <v>434</v>
      </c>
      <c r="D39">
        <v>3000</v>
      </c>
    </row>
    <row r="40" spans="2:4">
      <c r="B40">
        <f t="shared" si="4"/>
        <v>2400</v>
      </c>
      <c r="C40" t="s">
        <v>442</v>
      </c>
      <c r="D40">
        <v>4000</v>
      </c>
    </row>
    <row r="41" spans="2:4">
      <c r="B41">
        <f t="shared" si="4"/>
        <v>3200</v>
      </c>
      <c r="C41" t="s">
        <v>450</v>
      </c>
      <c r="D41">
        <v>5000</v>
      </c>
    </row>
    <row r="42" spans="2:4">
      <c r="B42">
        <f t="shared" si="4"/>
        <v>4000</v>
      </c>
      <c r="C42" t="s">
        <v>460</v>
      </c>
    </row>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1">
    <pageSetUpPr fitToPage="1"/>
  </sheetPr>
  <dimension ref="B2:AB78"/>
  <sheetViews>
    <sheetView tabSelected="1" zoomScaleNormal="100" workbookViewId="0">
      <selection activeCell="J2" sqref="J2:L14"/>
    </sheetView>
  </sheetViews>
  <sheetFormatPr baseColWidth="10" defaultColWidth="11.42578125" defaultRowHeight="12.75"/>
  <cols>
    <col min="1" max="1" width="3.28515625" style="45" customWidth="1"/>
    <col min="2" max="2" width="6.140625" style="45" customWidth="1"/>
    <col min="3" max="3" width="2.7109375" style="45" customWidth="1"/>
    <col min="4" max="4" width="36.85546875" style="45" customWidth="1"/>
    <col min="5" max="5" width="19.42578125" style="45" customWidth="1"/>
    <col min="6" max="6" width="64" style="45" customWidth="1"/>
    <col min="7" max="7" width="20" style="45" customWidth="1"/>
    <col min="8" max="11" width="11.42578125" style="45"/>
    <col min="12" max="12" width="29.5703125" style="45" customWidth="1"/>
    <col min="13" max="19" width="11.42578125" style="112"/>
    <col min="20" max="28" width="11.42578125" style="113"/>
    <col min="29" max="16384" width="11.42578125" style="45"/>
  </cols>
  <sheetData>
    <row r="2" spans="2:20" ht="18">
      <c r="B2" s="50"/>
      <c r="C2" s="49" t="s">
        <v>18</v>
      </c>
      <c r="D2" s="60"/>
      <c r="E2" s="60"/>
      <c r="F2" s="60"/>
      <c r="G2" s="60"/>
      <c r="H2" s="60"/>
      <c r="J2" s="217" t="s">
        <v>19</v>
      </c>
      <c r="K2" s="219"/>
      <c r="L2" s="219"/>
      <c r="N2" s="112" t="s">
        <v>20</v>
      </c>
      <c r="P2" s="57"/>
      <c r="Q2" s="57"/>
      <c r="R2" s="57"/>
      <c r="S2" s="57"/>
      <c r="T2" s="159"/>
    </row>
    <row r="3" spans="2:20">
      <c r="B3" s="60"/>
      <c r="C3" s="60"/>
      <c r="D3" s="60"/>
      <c r="E3" s="60"/>
      <c r="F3" s="60"/>
      <c r="G3" s="60"/>
      <c r="H3" s="60"/>
      <c r="J3" s="219"/>
      <c r="K3" s="219"/>
      <c r="L3" s="219"/>
      <c r="N3" s="112" t="s">
        <v>21</v>
      </c>
      <c r="P3" s="57"/>
      <c r="Q3" s="57"/>
      <c r="R3" s="57"/>
      <c r="S3" s="57"/>
      <c r="T3" s="159"/>
    </row>
    <row r="4" spans="2:20">
      <c r="B4" s="50"/>
      <c r="C4" s="60" t="s">
        <v>22</v>
      </c>
      <c r="D4" s="60"/>
      <c r="E4" s="145">
        <v>5000</v>
      </c>
      <c r="F4" s="60" t="s">
        <v>23</v>
      </c>
      <c r="G4" s="60"/>
      <c r="H4" s="60"/>
      <c r="J4" s="219"/>
      <c r="K4" s="219"/>
      <c r="L4" s="219"/>
      <c r="Q4" s="57"/>
      <c r="R4" s="57"/>
      <c r="S4" s="57"/>
      <c r="T4" s="159"/>
    </row>
    <row r="5" spans="2:20">
      <c r="B5" s="50"/>
      <c r="C5" s="60" t="s">
        <v>24</v>
      </c>
      <c r="D5" s="60"/>
      <c r="E5" s="166"/>
      <c r="F5" s="60"/>
      <c r="G5" s="60"/>
      <c r="H5" s="60"/>
      <c r="J5" s="219"/>
      <c r="K5" s="219"/>
      <c r="L5" s="219"/>
      <c r="Q5" s="57"/>
      <c r="R5" s="57"/>
      <c r="S5" s="57"/>
      <c r="T5" s="159"/>
    </row>
    <row r="6" spans="2:20">
      <c r="B6" s="50"/>
      <c r="C6" s="60"/>
      <c r="D6" s="60"/>
      <c r="E6" s="60"/>
      <c r="F6" s="60"/>
      <c r="G6" s="60"/>
      <c r="H6" s="60"/>
      <c r="J6" s="219"/>
      <c r="K6" s="219"/>
      <c r="L6" s="219"/>
      <c r="Q6" s="57"/>
      <c r="R6" s="57"/>
      <c r="S6" s="57"/>
      <c r="T6" s="159"/>
    </row>
    <row r="7" spans="2:20">
      <c r="B7" s="50"/>
      <c r="C7" s="60" t="s">
        <v>25</v>
      </c>
      <c r="D7" s="60"/>
      <c r="E7" s="167" t="s">
        <v>26</v>
      </c>
      <c r="F7" s="60"/>
      <c r="G7" s="60"/>
      <c r="H7" s="60"/>
      <c r="J7" s="219"/>
      <c r="K7" s="219"/>
      <c r="L7" s="219"/>
      <c r="P7" s="112" t="s">
        <v>27</v>
      </c>
      <c r="Q7" s="211">
        <v>15</v>
      </c>
      <c r="R7" s="57"/>
      <c r="S7" s="57"/>
      <c r="T7" s="159"/>
    </row>
    <row r="8" spans="2:20" ht="12.75" customHeight="1">
      <c r="B8" s="50"/>
      <c r="C8" s="60" t="s">
        <v>28</v>
      </c>
      <c r="D8" s="60"/>
      <c r="E8" s="168">
        <v>40</v>
      </c>
      <c r="F8" s="60" t="s">
        <v>29</v>
      </c>
      <c r="G8" s="60"/>
      <c r="H8" s="60"/>
      <c r="J8" s="219"/>
      <c r="K8" s="219"/>
      <c r="L8" s="219"/>
      <c r="P8" s="112" t="s">
        <v>30</v>
      </c>
      <c r="Q8" s="211">
        <v>20</v>
      </c>
      <c r="R8" s="57"/>
      <c r="S8" s="57"/>
      <c r="T8" s="159"/>
    </row>
    <row r="9" spans="2:20" ht="12.75" customHeight="1">
      <c r="B9" s="50"/>
      <c r="C9" s="60" t="s">
        <v>31</v>
      </c>
      <c r="D9" s="60"/>
      <c r="E9" s="168">
        <v>20</v>
      </c>
      <c r="F9" s="60" t="s">
        <v>29</v>
      </c>
      <c r="G9" s="60"/>
      <c r="H9" s="60"/>
      <c r="J9" s="219"/>
      <c r="K9" s="219"/>
      <c r="L9" s="219"/>
      <c r="P9" s="112" t="s">
        <v>32</v>
      </c>
      <c r="Q9" s="211"/>
      <c r="R9" s="57"/>
      <c r="S9" s="57"/>
      <c r="T9" s="159"/>
    </row>
    <row r="10" spans="2:20">
      <c r="B10" s="50"/>
      <c r="C10" s="60" t="s">
        <v>33</v>
      </c>
      <c r="D10" s="60"/>
      <c r="E10" s="169" t="s">
        <v>20</v>
      </c>
      <c r="F10" s="60"/>
      <c r="G10" s="60"/>
      <c r="H10" s="60"/>
      <c r="J10" s="219"/>
      <c r="K10" s="219"/>
      <c r="L10" s="219"/>
      <c r="P10" s="112" t="s">
        <v>26</v>
      </c>
      <c r="Q10" s="211"/>
      <c r="R10" s="57"/>
      <c r="S10" s="57"/>
      <c r="T10" s="159"/>
    </row>
    <row r="11" spans="2:20">
      <c r="B11" s="50"/>
      <c r="C11" s="60" t="s">
        <v>34</v>
      </c>
      <c r="D11" s="224"/>
      <c r="E11" s="225">
        <f>ekspansjon</f>
        <v>64.5</v>
      </c>
      <c r="F11" s="224" t="s">
        <v>35</v>
      </c>
      <c r="G11" s="60"/>
      <c r="H11" s="60"/>
      <c r="J11" s="219"/>
      <c r="K11" s="219"/>
      <c r="L11" s="219"/>
      <c r="P11" s="112" t="s">
        <v>36</v>
      </c>
      <c r="Q11" s="211">
        <v>25</v>
      </c>
      <c r="R11" s="57"/>
      <c r="S11" s="57"/>
      <c r="T11" s="159"/>
    </row>
    <row r="12" spans="2:20">
      <c r="B12" s="50"/>
      <c r="C12" s="60" t="s">
        <v>37</v>
      </c>
      <c r="D12" s="60"/>
      <c r="E12" s="168">
        <v>24</v>
      </c>
      <c r="F12" s="60" t="s">
        <v>38</v>
      </c>
      <c r="G12" s="60"/>
      <c r="H12" s="60"/>
      <c r="J12" s="219"/>
      <c r="K12" s="219"/>
      <c r="L12" s="219"/>
      <c r="P12" s="112" t="s">
        <v>39</v>
      </c>
      <c r="Q12" s="211">
        <v>30</v>
      </c>
      <c r="R12" s="57"/>
      <c r="S12" s="57"/>
      <c r="T12" s="159"/>
    </row>
    <row r="13" spans="2:20">
      <c r="B13" s="50"/>
      <c r="C13" s="60" t="s">
        <v>40</v>
      </c>
      <c r="D13" s="60"/>
      <c r="E13" s="168">
        <v>40</v>
      </c>
      <c r="F13" s="60" t="s">
        <v>38</v>
      </c>
      <c r="G13" s="60"/>
      <c r="H13" s="60"/>
      <c r="J13" s="219"/>
      <c r="K13" s="219"/>
      <c r="L13" s="219"/>
      <c r="Q13" s="211">
        <v>35</v>
      </c>
      <c r="R13" s="57"/>
      <c r="S13" s="57"/>
      <c r="T13" s="159"/>
    </row>
    <row r="14" spans="2:20">
      <c r="B14" s="50"/>
      <c r="C14" s="60" t="s">
        <v>41</v>
      </c>
      <c r="D14" s="60"/>
      <c r="E14" s="60">
        <f>E12+sikkstatisk</f>
        <v>26</v>
      </c>
      <c r="F14" s="60" t="s">
        <v>38</v>
      </c>
      <c r="G14" s="60"/>
      <c r="H14" s="60"/>
      <c r="J14" s="219"/>
      <c r="K14" s="219"/>
      <c r="L14" s="219"/>
      <c r="Q14" s="211">
        <v>40</v>
      </c>
      <c r="R14" s="57"/>
      <c r="S14" s="57"/>
      <c r="T14" s="159"/>
    </row>
    <row r="15" spans="2:20">
      <c r="B15" s="50"/>
      <c r="C15" s="60"/>
      <c r="D15" s="60"/>
      <c r="E15" s="60"/>
      <c r="F15" s="60"/>
      <c r="G15" s="60"/>
      <c r="H15" s="60"/>
      <c r="P15" s="57"/>
      <c r="Q15" s="211">
        <v>45</v>
      </c>
      <c r="R15" s="57"/>
      <c r="S15" s="57"/>
      <c r="T15" s="159"/>
    </row>
    <row r="16" spans="2:20">
      <c r="B16" s="50"/>
      <c r="C16" s="170" t="s">
        <v>42</v>
      </c>
      <c r="D16" s="171"/>
      <c r="E16" s="171"/>
      <c r="F16" s="171"/>
      <c r="G16" s="172"/>
      <c r="H16" s="60"/>
      <c r="J16" s="217" t="s">
        <v>43</v>
      </c>
      <c r="K16" s="218"/>
      <c r="L16" s="218"/>
      <c r="P16" s="57"/>
      <c r="Q16" s="211">
        <v>50</v>
      </c>
      <c r="R16" s="57"/>
      <c r="S16" s="57"/>
      <c r="T16" s="159"/>
    </row>
    <row r="17" spans="2:20">
      <c r="B17" s="50"/>
      <c r="C17" s="173"/>
      <c r="D17" s="60" t="s">
        <v>44</v>
      </c>
      <c r="E17" s="10">
        <f>((E13-sikkblåseventil)+10-(E12+(10+sikkstatisk)))/((E13-sikkblåseventil)+10)</f>
        <v>0.2</v>
      </c>
      <c r="F17" s="60"/>
      <c r="G17" s="174"/>
      <c r="H17" s="60"/>
      <c r="J17" s="218"/>
      <c r="K17" s="218"/>
      <c r="L17" s="218"/>
      <c r="P17" s="57"/>
      <c r="Q17" s="211">
        <v>54</v>
      </c>
      <c r="R17" s="57"/>
      <c r="S17" s="57"/>
      <c r="T17" s="159"/>
    </row>
    <row r="18" spans="2:20">
      <c r="B18" s="50"/>
      <c r="C18" s="173"/>
      <c r="D18" s="60" t="s">
        <v>45</v>
      </c>
      <c r="E18" s="66">
        <f>IF(E11/E17&lt;400,E11/E17,IF(E17&lt;15%,"Anbefaler kompressor eller pumpekar pga trykkforhold",E11/E17))</f>
        <v>322.5</v>
      </c>
      <c r="F18" s="60"/>
      <c r="G18" s="174"/>
      <c r="H18" s="60"/>
      <c r="J18" s="218"/>
      <c r="K18" s="218"/>
      <c r="L18" s="218"/>
      <c r="P18" s="57"/>
      <c r="Q18" s="211">
        <v>60</v>
      </c>
      <c r="R18" s="57"/>
      <c r="S18" s="57"/>
      <c r="T18" s="159"/>
    </row>
    <row r="19" spans="2:20">
      <c r="B19" s="50"/>
      <c r="C19" s="173"/>
      <c r="D19" s="175" t="s">
        <v>46</v>
      </c>
      <c r="E19" s="176" t="str">
        <f>Ekspansjon!D16</f>
        <v>N 400</v>
      </c>
      <c r="F19" s="177" t="str">
        <f>IF(E13&gt;54,"Ta kontakt med Armatec for uttak av korrekt ekspansjonskar",Ekspansjon!F16)</f>
        <v>REFLEX trykkekspansjonskar type N 400 / 1,5 dia 740 mm, høyde 1075 mm, vekt 65,0 kg. 
NRF nr. 840 07 12</v>
      </c>
      <c r="G19" s="178"/>
      <c r="H19" s="179"/>
      <c r="J19" s="218"/>
      <c r="K19" s="218"/>
      <c r="L19" s="218"/>
      <c r="N19" s="119"/>
      <c r="P19" s="57"/>
      <c r="Q19" s="57">
        <v>65</v>
      </c>
      <c r="R19" s="57"/>
      <c r="S19" s="57"/>
      <c r="T19" s="159"/>
    </row>
    <row r="20" spans="2:20">
      <c r="B20" s="50"/>
      <c r="C20" s="173"/>
      <c r="D20" s="60"/>
      <c r="E20" s="180"/>
      <c r="F20" s="179"/>
      <c r="G20" s="178"/>
      <c r="H20" s="179"/>
      <c r="J20" s="218"/>
      <c r="K20" s="218"/>
      <c r="L20" s="218"/>
      <c r="N20" s="119"/>
      <c r="P20" s="57"/>
      <c r="Q20" s="57">
        <v>70</v>
      </c>
      <c r="R20" s="57"/>
      <c r="S20" s="57"/>
      <c r="T20" s="159"/>
    </row>
    <row r="21" spans="2:20">
      <c r="B21" s="50"/>
      <c r="C21" s="181"/>
      <c r="D21" s="182" t="s">
        <v>47</v>
      </c>
      <c r="E21" s="183"/>
      <c r="F21" s="184" t="str">
        <f>Ekspansjon!F17</f>
        <v>1'' serviceventil for ekspansjonskar med avtapping. NRF nr. 840 08 16</v>
      </c>
      <c r="G21" s="185"/>
      <c r="H21" s="137"/>
      <c r="J21" s="218"/>
      <c r="K21" s="218"/>
      <c r="L21" s="218"/>
      <c r="N21" s="120"/>
      <c r="P21" s="57"/>
      <c r="Q21" s="57">
        <v>75</v>
      </c>
      <c r="R21" s="57"/>
      <c r="S21" s="57"/>
      <c r="T21" s="159"/>
    </row>
    <row r="22" spans="2:20">
      <c r="B22" s="50"/>
      <c r="C22" s="60"/>
      <c r="D22" s="60"/>
      <c r="E22" s="180"/>
      <c r="F22" s="60"/>
      <c r="G22" s="60"/>
      <c r="H22" s="60"/>
      <c r="P22" s="57"/>
      <c r="Q22" s="57">
        <v>80</v>
      </c>
      <c r="R22" s="57"/>
      <c r="S22" s="57"/>
      <c r="T22" s="159"/>
    </row>
    <row r="23" spans="2:20">
      <c r="B23" s="50"/>
      <c r="C23" s="170" t="s">
        <v>48</v>
      </c>
      <c r="D23" s="171"/>
      <c r="E23" s="186"/>
      <c r="F23" s="171"/>
      <c r="G23" s="172"/>
      <c r="H23" s="60"/>
      <c r="J23" s="217" t="s">
        <v>49</v>
      </c>
      <c r="K23" s="218"/>
      <c r="L23" s="218"/>
      <c r="P23" s="57"/>
      <c r="Q23" s="57">
        <v>90</v>
      </c>
      <c r="R23" s="57"/>
      <c r="S23" s="57"/>
      <c r="T23" s="159"/>
    </row>
    <row r="24" spans="2:20" ht="140.25">
      <c r="B24" s="50"/>
      <c r="C24" s="173"/>
      <c r="D24" s="175" t="s">
        <v>50</v>
      </c>
      <c r="E24" s="176" t="str">
        <f>Ekspansjon!D21</f>
        <v>Reflexomat XS</v>
      </c>
      <c r="F24" s="187" t="str">
        <f>Ekspansjon!F21</f>
        <v>REFLEXOMAT XS ekspansjonskar, komplett for vertikal montasje og med utskiftbar membran.
Dimensjoner:
volum         80 liter
diameter     480 mm
høyde        1035 mm
vekt             28 kg
driftstemp.  110oC
anslutning    R1”</v>
      </c>
      <c r="G24" s="188"/>
      <c r="H24" s="137"/>
      <c r="J24" s="218"/>
      <c r="K24" s="218"/>
      <c r="L24" s="218"/>
      <c r="N24" s="120"/>
      <c r="P24" s="57"/>
      <c r="Q24" s="57">
        <v>95</v>
      </c>
      <c r="R24" s="57"/>
      <c r="S24" s="57"/>
      <c r="T24" s="159"/>
    </row>
    <row r="25" spans="2:20">
      <c r="B25" s="50"/>
      <c r="C25" s="173"/>
      <c r="D25" s="175"/>
      <c r="E25" s="189"/>
      <c r="F25" s="137"/>
      <c r="G25" s="188"/>
      <c r="H25" s="137"/>
      <c r="J25" s="218"/>
      <c r="K25" s="218"/>
      <c r="L25" s="218"/>
      <c r="N25" s="120"/>
      <c r="Q25" s="112">
        <v>100</v>
      </c>
    </row>
    <row r="26" spans="2:20" ht="106.5" customHeight="1">
      <c r="B26" s="50"/>
      <c r="C26" s="173"/>
      <c r="D26" s="175" t="s">
        <v>51</v>
      </c>
      <c r="E26" s="190" t="str">
        <f>IF(Effekt=0,"husk å legge inn kjeleeffekt under",Ekspansjon!D22)</f>
        <v/>
      </c>
      <c r="F26" s="187" t="str">
        <f>Ekspansjon!F22</f>
        <v/>
      </c>
      <c r="G26" s="188"/>
      <c r="H26" s="137"/>
      <c r="J26" s="218"/>
      <c r="K26" s="218"/>
      <c r="L26" s="218"/>
      <c r="N26" s="120"/>
    </row>
    <row r="27" spans="2:20">
      <c r="B27" s="50"/>
      <c r="C27" s="173"/>
      <c r="D27" s="60"/>
      <c r="E27" s="60"/>
      <c r="F27" s="60"/>
      <c r="G27" s="174"/>
      <c r="H27" s="60"/>
      <c r="J27" s="218"/>
      <c r="K27" s="218"/>
      <c r="L27" s="218"/>
    </row>
    <row r="28" spans="2:20">
      <c r="B28" s="50"/>
      <c r="C28" s="181"/>
      <c r="D28" s="182" t="s">
        <v>52</v>
      </c>
      <c r="E28" s="182"/>
      <c r="F28" s="182"/>
      <c r="G28" s="191"/>
      <c r="H28" s="60"/>
      <c r="J28" s="218"/>
      <c r="K28" s="218"/>
      <c r="L28" s="218"/>
    </row>
    <row r="29" spans="2:20">
      <c r="B29" s="50"/>
      <c r="C29" s="60"/>
      <c r="D29" s="60"/>
      <c r="E29" s="60"/>
      <c r="F29" s="60"/>
      <c r="G29" s="60"/>
      <c r="H29" s="60"/>
    </row>
    <row r="30" spans="2:20">
      <c r="B30" s="50"/>
      <c r="C30" s="170" t="s">
        <v>53</v>
      </c>
      <c r="D30" s="192"/>
      <c r="E30" s="171"/>
      <c r="F30" s="171"/>
      <c r="G30" s="172"/>
      <c r="H30" s="60"/>
      <c r="J30" s="217" t="s">
        <v>54</v>
      </c>
      <c r="K30" s="218"/>
      <c r="L30" s="218"/>
    </row>
    <row r="31" spans="2:20" ht="114.75">
      <c r="B31" s="50"/>
      <c r="C31" s="173"/>
      <c r="D31" s="77" t="s">
        <v>50</v>
      </c>
      <c r="E31" s="176" t="str">
        <f>Ekspansjon!D24</f>
        <v>Variomat 200</v>
      </c>
      <c r="F31" s="187" t="str">
        <f>Ekspansjon!F24</f>
        <v>Variomat ekspansjonskar, type VG  200, komplett for vertikal montasje og med utskiftbar membran.
Dimensjoner:
volum         200 liter
diameter     634 mm
høyde        1060 mm
vekt             41,4 kg
anslutning    G1''</v>
      </c>
      <c r="G31" s="174"/>
      <c r="H31" s="60"/>
      <c r="J31" s="218"/>
      <c r="K31" s="218"/>
      <c r="L31" s="218"/>
    </row>
    <row r="32" spans="2:20" ht="126.75" customHeight="1">
      <c r="B32" s="50"/>
      <c r="C32" s="173"/>
      <c r="D32" s="77" t="s">
        <v>55</v>
      </c>
      <c r="E32" s="190" t="str">
        <f>IF(Effekt=0,"husk å legge inn  kjeleeffekt under",Ekspansjon!D25)</f>
        <v>VS2-2/60</v>
      </c>
      <c r="F32" s="187" t="str">
        <f>Ekspansjon!F25</f>
        <v>Styreautomatikk med to pumper for plassering ved 
siden av tank, med potensialfrie kontakter for 
overføring  av felles feilsignal for "lavt" og "høyt" 
vannivå i tank samt "pumpefeill", videre med 
konstant digital visning av systemtrykk i bar og 
vannivå i %
·hydraulisk/elektronisk vektcelle for vanninnhold.
·uttak for eventuell senere tilkobling av automatisk 
vannpåfylling.
Maks. arbeidstrykk:10 bar</v>
      </c>
      <c r="G32" s="174"/>
      <c r="H32" s="60"/>
      <c r="J32" s="218"/>
      <c r="K32" s="218"/>
      <c r="L32" s="218"/>
    </row>
    <row r="33" spans="2:17">
      <c r="B33" s="50"/>
      <c r="C33" s="173"/>
      <c r="D33" s="60" t="s">
        <v>56</v>
      </c>
      <c r="E33" s="180" t="str">
        <f>Ekspansjon!D37</f>
        <v>DE 60</v>
      </c>
      <c r="F33" s="60" t="str">
        <f>Ekspansjon!F37</f>
        <v>Reflex Refix DE 60 liter. 10 bar</v>
      </c>
      <c r="G33" s="174"/>
      <c r="H33" s="60"/>
      <c r="J33" s="218"/>
      <c r="K33" s="218"/>
      <c r="L33" s="218"/>
    </row>
    <row r="34" spans="2:17" ht="36" customHeight="1">
      <c r="B34" s="50"/>
      <c r="C34" s="181"/>
      <c r="D34" s="182" t="s">
        <v>52</v>
      </c>
      <c r="E34" s="182"/>
      <c r="F34" s="182"/>
      <c r="G34" s="191"/>
      <c r="H34" s="60"/>
      <c r="J34" s="218"/>
      <c r="K34" s="218"/>
      <c r="L34" s="218"/>
    </row>
    <row r="35" spans="2:17">
      <c r="B35" s="50"/>
      <c r="C35" s="60"/>
      <c r="D35" s="60"/>
      <c r="E35" s="60"/>
      <c r="F35" s="60"/>
      <c r="G35" s="60"/>
      <c r="H35" s="60"/>
    </row>
    <row r="36" spans="2:17">
      <c r="B36" s="50"/>
      <c r="C36" s="60"/>
      <c r="D36" s="60"/>
      <c r="E36" s="60"/>
      <c r="F36" s="60"/>
      <c r="G36" s="60"/>
      <c r="H36" s="60"/>
    </row>
    <row r="37" spans="2:17">
      <c r="B37" s="50"/>
      <c r="C37" s="170" t="s">
        <v>57</v>
      </c>
      <c r="D37" s="193"/>
      <c r="E37" s="186" t="s">
        <v>58</v>
      </c>
      <c r="F37" s="171"/>
      <c r="G37" s="172"/>
      <c r="H37" s="60"/>
    </row>
    <row r="38" spans="2:17">
      <c r="B38" s="50"/>
      <c r="C38" s="173"/>
      <c r="D38" s="60" t="s">
        <v>59</v>
      </c>
      <c r="E38" s="168">
        <v>5000</v>
      </c>
      <c r="F38" s="194" t="str">
        <f>IF(E38=0,"",Ekspansjon!J28)</f>
        <v>Benytt flere enn 2 x 2'' ventiler</v>
      </c>
      <c r="G38" s="174"/>
      <c r="H38" s="60"/>
    </row>
    <row r="39" spans="2:17">
      <c r="B39" s="50"/>
      <c r="C39" s="173"/>
      <c r="D39" s="60" t="s">
        <v>60</v>
      </c>
      <c r="E39" s="168"/>
      <c r="F39" s="194" t="str">
        <f>IF(E39=0,"",Ekspansjon!J29)</f>
        <v/>
      </c>
      <c r="G39" s="174"/>
      <c r="H39" s="60"/>
    </row>
    <row r="40" spans="2:17">
      <c r="B40" s="50"/>
      <c r="C40" s="173"/>
      <c r="D40" s="60" t="s">
        <v>61</v>
      </c>
      <c r="E40" s="168"/>
      <c r="F40" s="194" t="str">
        <f>IF(E40=0,"",Ekspansjon!J30)</f>
        <v/>
      </c>
      <c r="G40" s="174"/>
      <c r="H40" s="60"/>
    </row>
    <row r="41" spans="2:17">
      <c r="B41" s="50"/>
      <c r="C41" s="173"/>
      <c r="D41" s="60" t="s">
        <v>62</v>
      </c>
      <c r="E41" s="168"/>
      <c r="F41" s="194" t="str">
        <f>IF(E41=0,"",Ekspansjon!J31)</f>
        <v/>
      </c>
      <c r="G41" s="174"/>
      <c r="H41" s="60"/>
    </row>
    <row r="42" spans="2:17">
      <c r="B42" s="50"/>
      <c r="C42" s="181"/>
      <c r="D42" s="182"/>
      <c r="E42" s="182"/>
      <c r="F42" s="195" t="str">
        <f>IF(E42=0,"",Ekspansjon!J32)</f>
        <v/>
      </c>
      <c r="G42" s="191"/>
      <c r="H42" s="60"/>
    </row>
    <row r="43" spans="2:17">
      <c r="B43" s="50"/>
      <c r="C43" s="60"/>
      <c r="D43" s="60"/>
      <c r="E43" s="60"/>
      <c r="F43" s="60"/>
      <c r="G43" s="60"/>
      <c r="H43" s="60"/>
    </row>
    <row r="44" spans="2:17">
      <c r="B44" s="114"/>
      <c r="C44" s="196" t="s">
        <v>63</v>
      </c>
      <c r="D44" s="115"/>
      <c r="E44" s="115"/>
      <c r="F44" s="115"/>
      <c r="G44" s="116"/>
      <c r="H44" s="114"/>
      <c r="J44" s="220" t="s">
        <v>64</v>
      </c>
      <c r="K44" s="221"/>
      <c r="L44" s="221"/>
    </row>
    <row r="45" spans="2:17" ht="57.75" customHeight="1">
      <c r="B45" s="114"/>
      <c r="C45" s="117"/>
      <c r="D45" s="124" t="str">
        <f>IF(E9&gt;70,"På grunn av høy returtemperatur anbefales det å installere en forkjøler foran ekspansjonskaret for å opprettholde karets levetid","Ingen behov for forkjøler")</f>
        <v>Ingen behov for forkjøler</v>
      </c>
      <c r="E45" s="197" t="str">
        <f>IF(E9&gt;70,Q46,"")</f>
        <v/>
      </c>
      <c r="F45" s="125"/>
      <c r="G45" s="118"/>
      <c r="H45" s="114"/>
      <c r="J45" s="221"/>
      <c r="K45" s="221"/>
      <c r="L45" s="221"/>
    </row>
    <row r="46" spans="2:17">
      <c r="B46" s="114"/>
      <c r="C46" s="114"/>
      <c r="D46" s="114"/>
      <c r="E46" s="114"/>
      <c r="F46" s="114"/>
      <c r="G46" s="114"/>
      <c r="H46" s="114"/>
      <c r="O46" s="121" t="e">
        <f>VLOOKUP(E9,N48:O78,2)</f>
        <v>#N/A</v>
      </c>
      <c r="P46" s="121" t="e">
        <f>O46*E11</f>
        <v>#N/A</v>
      </c>
      <c r="Q46" s="112" t="e">
        <f>VLOOKUP(P46,P49:Q59,2)</f>
        <v>#N/A</v>
      </c>
    </row>
    <row r="47" spans="2:17">
      <c r="N47" s="112" t="s">
        <v>63</v>
      </c>
      <c r="O47" s="112" t="s">
        <v>65</v>
      </c>
    </row>
    <row r="48" spans="2:17">
      <c r="N48" s="112">
        <v>70</v>
      </c>
      <c r="O48" s="122">
        <v>0</v>
      </c>
      <c r="P48" s="122"/>
    </row>
    <row r="49" spans="14:17">
      <c r="N49" s="112">
        <v>72.5</v>
      </c>
      <c r="O49" s="122">
        <v>0.02</v>
      </c>
      <c r="P49" s="122">
        <v>0</v>
      </c>
      <c r="Q49" s="112" t="s">
        <v>66</v>
      </c>
    </row>
    <row r="50" spans="14:17">
      <c r="N50" s="112">
        <v>75</v>
      </c>
      <c r="O50" s="123">
        <v>4.2000000000000003E-2</v>
      </c>
      <c r="P50" s="123">
        <v>20</v>
      </c>
      <c r="Q50" s="112" t="s">
        <v>67</v>
      </c>
    </row>
    <row r="51" spans="14:17">
      <c r="N51" s="112">
        <v>77.5</v>
      </c>
      <c r="O51" s="123">
        <v>6.2E-2</v>
      </c>
      <c r="P51" s="123">
        <v>60</v>
      </c>
      <c r="Q51" s="112" t="s">
        <v>68</v>
      </c>
    </row>
    <row r="52" spans="14:17">
      <c r="N52" s="112">
        <v>80</v>
      </c>
      <c r="O52" s="122">
        <v>0.08</v>
      </c>
      <c r="P52" s="122">
        <v>200</v>
      </c>
      <c r="Q52" s="112" t="s">
        <v>69</v>
      </c>
    </row>
    <row r="53" spans="14:17">
      <c r="N53" s="112">
        <v>82.5</v>
      </c>
      <c r="O53" s="123">
        <v>9.5000000000000001E-2</v>
      </c>
      <c r="P53" s="123">
        <v>300</v>
      </c>
      <c r="Q53" s="112" t="s">
        <v>70</v>
      </c>
    </row>
    <row r="54" spans="14:17">
      <c r="N54" s="112">
        <v>85</v>
      </c>
      <c r="O54" s="123">
        <v>0.105</v>
      </c>
      <c r="P54" s="123">
        <v>500</v>
      </c>
      <c r="Q54" s="112" t="s">
        <v>71</v>
      </c>
    </row>
    <row r="55" spans="14:17">
      <c r="N55" s="112">
        <v>87.5</v>
      </c>
      <c r="O55" s="122">
        <v>0.12</v>
      </c>
      <c r="P55" s="122">
        <v>750</v>
      </c>
      <c r="Q55" s="112" t="s">
        <v>72</v>
      </c>
    </row>
    <row r="56" spans="14:17">
      <c r="N56" s="112">
        <v>90</v>
      </c>
      <c r="O56" s="123">
        <v>0.13800000000000001</v>
      </c>
      <c r="P56" s="123">
        <v>1000</v>
      </c>
      <c r="Q56" s="112" t="s">
        <v>73</v>
      </c>
    </row>
    <row r="57" spans="14:17">
      <c r="N57" s="112">
        <v>92.5</v>
      </c>
      <c r="O57" s="123">
        <v>0.14499999999999999</v>
      </c>
      <c r="P57" s="123">
        <v>1500</v>
      </c>
      <c r="Q57" s="112" t="s">
        <v>74</v>
      </c>
    </row>
    <row r="58" spans="14:17">
      <c r="N58" s="112">
        <v>95</v>
      </c>
      <c r="O58" s="122">
        <v>0.16</v>
      </c>
      <c r="P58" s="122">
        <v>2000</v>
      </c>
      <c r="Q58" s="112" t="s">
        <v>75</v>
      </c>
    </row>
    <row r="59" spans="14:17">
      <c r="N59" s="112">
        <v>97.5</v>
      </c>
      <c r="O59" s="122">
        <v>0.17</v>
      </c>
      <c r="P59" s="122">
        <v>3000</v>
      </c>
      <c r="Q59" s="112" t="s">
        <v>76</v>
      </c>
    </row>
    <row r="60" spans="14:17">
      <c r="N60" s="112">
        <v>100</v>
      </c>
      <c r="O60" s="122">
        <v>0.18</v>
      </c>
      <c r="P60" s="122"/>
    </row>
    <row r="61" spans="14:17">
      <c r="N61" s="112">
        <v>102.5</v>
      </c>
      <c r="O61" s="123">
        <v>0.192</v>
      </c>
      <c r="P61" s="123"/>
    </row>
    <row r="62" spans="14:17">
      <c r="N62" s="112">
        <v>105</v>
      </c>
      <c r="O62" s="123">
        <v>0.20200000000000001</v>
      </c>
      <c r="P62" s="123"/>
    </row>
    <row r="63" spans="14:17">
      <c r="N63" s="112">
        <v>107.5</v>
      </c>
      <c r="O63" s="123">
        <v>0.215</v>
      </c>
      <c r="P63" s="123"/>
    </row>
    <row r="64" spans="14:17">
      <c r="N64" s="112">
        <v>110</v>
      </c>
      <c r="O64" s="122">
        <v>0.22</v>
      </c>
      <c r="P64" s="122"/>
    </row>
    <row r="65" spans="14:16">
      <c r="N65" s="112">
        <v>112.5</v>
      </c>
      <c r="O65" s="123">
        <v>0.23400000000000001</v>
      </c>
      <c r="P65" s="123"/>
    </row>
    <row r="66" spans="14:16">
      <c r="N66" s="112">
        <v>115</v>
      </c>
      <c r="O66" s="122">
        <v>0.24</v>
      </c>
      <c r="P66" s="122"/>
    </row>
    <row r="67" spans="14:16">
      <c r="N67" s="112">
        <v>117.5</v>
      </c>
      <c r="O67" s="122">
        <v>0.25</v>
      </c>
      <c r="P67" s="122"/>
    </row>
    <row r="68" spans="14:16">
      <c r="N68" s="112">
        <v>120</v>
      </c>
      <c r="O68" s="123">
        <v>0.25800000000000001</v>
      </c>
      <c r="P68" s="123"/>
    </row>
    <row r="69" spans="14:16">
      <c r="N69" s="112">
        <v>122.5</v>
      </c>
      <c r="O69" s="123">
        <v>0.26500000000000001</v>
      </c>
      <c r="P69" s="123"/>
    </row>
    <row r="70" spans="14:16">
      <c r="N70" s="112">
        <v>125</v>
      </c>
      <c r="O70" s="123">
        <v>0.27200000000000002</v>
      </c>
      <c r="P70" s="123"/>
    </row>
    <row r="71" spans="14:16">
      <c r="N71" s="112">
        <v>127.5</v>
      </c>
      <c r="O71" s="122">
        <v>0.28000000000000003</v>
      </c>
      <c r="P71" s="122"/>
    </row>
    <row r="72" spans="14:16">
      <c r="N72" s="112">
        <v>130</v>
      </c>
      <c r="O72" s="123">
        <v>0.28799999999999998</v>
      </c>
      <c r="P72" s="123"/>
    </row>
    <row r="73" spans="14:16">
      <c r="N73" s="112">
        <v>132.5</v>
      </c>
      <c r="O73" s="123">
        <v>0.29199999999999998</v>
      </c>
      <c r="P73" s="123"/>
    </row>
    <row r="74" spans="14:16">
      <c r="N74" s="112">
        <v>135</v>
      </c>
      <c r="O74" s="122">
        <v>0.3</v>
      </c>
      <c r="P74" s="122"/>
    </row>
    <row r="75" spans="14:16">
      <c r="N75" s="112">
        <v>137.5</v>
      </c>
      <c r="O75" s="123">
        <v>0.308</v>
      </c>
      <c r="P75" s="123"/>
    </row>
    <row r="76" spans="14:16">
      <c r="N76" s="112">
        <v>140</v>
      </c>
      <c r="O76" s="123">
        <v>0.317</v>
      </c>
      <c r="P76" s="123"/>
    </row>
    <row r="77" spans="14:16">
      <c r="N77" s="112">
        <v>142.5</v>
      </c>
      <c r="O77" s="122">
        <v>0.32</v>
      </c>
      <c r="P77" s="122"/>
    </row>
    <row r="78" spans="14:16">
      <c r="N78" s="112">
        <v>145</v>
      </c>
      <c r="O78" s="112" t="s">
        <v>76</v>
      </c>
    </row>
  </sheetData>
  <mergeCells count="5">
    <mergeCell ref="J30:L34"/>
    <mergeCell ref="J2:L14"/>
    <mergeCell ref="J16:L21"/>
    <mergeCell ref="J23:L28"/>
    <mergeCell ref="J44:L45"/>
  </mergeCells>
  <phoneticPr fontId="0" type="noConversion"/>
  <dataValidations count="4">
    <dataValidation type="list" allowBlank="1" showInputMessage="1" showErrorMessage="1" sqref="E13" xr:uid="{00000000-0002-0000-0100-000001000000}">
      <formula1>$Q$9:$Q$25</formula1>
    </dataValidation>
    <dataValidation type="list" allowBlank="1" showInputMessage="1" showErrorMessage="1" sqref="E10" xr:uid="{00000000-0002-0000-0100-000002000000}">
      <formula1>$N$2:$N$3</formula1>
    </dataValidation>
    <dataValidation allowBlank="1" showInputMessage="1" showErrorMessage="1" promptTitle="Statisk trykk" prompt="SGP anbefaler aldri lavere statisk høyde enn 8 mvs (for å få 1 bar ladetrykk på karet). Årsaken til dette er at man ved lavere trykk raskt kan få vakuum på sirkulasjonspumpen (og dermed kavitasjon)." sqref="E12" xr:uid="{00000000-0002-0000-0100-000003000000}"/>
    <dataValidation type="list" allowBlank="1" showInputMessage="1" showErrorMessage="1" sqref="E7" xr:uid="{00000000-0002-0000-0100-000000000000}">
      <formula1>$P$7:$P$12</formula1>
    </dataValidation>
  </dataValidations>
  <pageMargins left="0.78740157499999996" right="0.78740157499999996" top="0.984251969" bottom="0.984251969" header="0.5" footer="0.5"/>
  <pageSetup paperSize="9" scale="45" orientation="landscape" verticalDpi="12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7A9DB-E9BA-4453-899B-BF8B628DD28D}">
  <dimension ref="A1:I26"/>
  <sheetViews>
    <sheetView workbookViewId="0">
      <selection activeCell="F2" sqref="F2"/>
    </sheetView>
  </sheetViews>
  <sheetFormatPr baseColWidth="10" defaultColWidth="11.42578125" defaultRowHeight="12.75"/>
  <cols>
    <col min="3" max="3" width="16.5703125" bestFit="1" customWidth="1"/>
    <col min="4" max="4" width="12.7109375" bestFit="1" customWidth="1"/>
    <col min="5" max="5" width="24.140625" customWidth="1"/>
  </cols>
  <sheetData>
    <row r="1" spans="1:9">
      <c r="A1" s="4" t="s">
        <v>77</v>
      </c>
      <c r="E1" t="s">
        <v>78</v>
      </c>
      <c r="F1" s="213">
        <v>250</v>
      </c>
    </row>
    <row r="3" spans="1:9">
      <c r="B3" s="14" t="s">
        <v>79</v>
      </c>
      <c r="C3" s="14" t="s">
        <v>80</v>
      </c>
      <c r="D3" s="14" t="s">
        <v>81</v>
      </c>
      <c r="E3" s="14" t="s">
        <v>82</v>
      </c>
      <c r="F3" s="14" t="s">
        <v>83</v>
      </c>
      <c r="G3" s="14" t="s">
        <v>84</v>
      </c>
      <c r="H3" s="14" t="s">
        <v>85</v>
      </c>
      <c r="I3" s="14"/>
    </row>
    <row r="4" spans="1:9">
      <c r="B4">
        <f>Varme!E8</f>
        <v>40</v>
      </c>
      <c r="C4" s="20">
        <f>Ekspansjon!G5</f>
        <v>39.500000000000007</v>
      </c>
      <c r="D4">
        <f>Ekspansjon!D11-sikkblåseventil</f>
        <v>35</v>
      </c>
      <c r="E4">
        <f>D4/10</f>
        <v>3.5</v>
      </c>
      <c r="F4">
        <f>VLOOKUP(Varme!E19,Ekspansjon!M11:$N$44,2,FALSE)</f>
        <v>400</v>
      </c>
      <c r="G4">
        <f>Varme!E14</f>
        <v>26</v>
      </c>
      <c r="H4">
        <f>(G4+10)*F4</f>
        <v>14400</v>
      </c>
    </row>
    <row r="5" spans="1:9">
      <c r="C5" s="20"/>
    </row>
    <row r="6" spans="1:9">
      <c r="B6" s="109" t="s">
        <v>86</v>
      </c>
      <c r="C6" s="109" t="s">
        <v>87</v>
      </c>
      <c r="D6" s="109" t="s">
        <v>88</v>
      </c>
      <c r="E6" s="109" t="s">
        <v>38</v>
      </c>
      <c r="F6" s="109" t="s">
        <v>89</v>
      </c>
      <c r="G6" s="109" t="s">
        <v>82</v>
      </c>
    </row>
    <row r="7" spans="1:9">
      <c r="B7" s="109">
        <v>4</v>
      </c>
      <c r="C7" s="109">
        <v>0</v>
      </c>
      <c r="D7" s="44">
        <f>IF($F$1&lt;&gt;0,$F$1-C7,$F$4-C7)</f>
        <v>250</v>
      </c>
      <c r="E7" s="62">
        <f>($G$4+10)*$F$4/D7-10</f>
        <v>47.6</v>
      </c>
      <c r="F7" s="62" t="str">
        <f>IF(D7&lt;0,"",IF(E7&gt;($D$4-sikkblåseventil),"",Test_trykk_i_anlegg!E7))</f>
        <v/>
      </c>
      <c r="G7" s="158" t="str">
        <f>IFERROR(F7/10,"")</f>
        <v/>
      </c>
    </row>
    <row r="8" spans="1:9">
      <c r="A8" s="14"/>
      <c r="B8">
        <v>10</v>
      </c>
      <c r="C8" s="44">
        <f>VLOOKUP(B8,Data!$A$6:$G$31,Ekspansjon!$M$8)*Ekspansjon!$D$2</f>
        <v>2</v>
      </c>
      <c r="D8" s="44">
        <f>IF($F$1&lt;&gt;0,$F$1-C8,$F$4-C8)</f>
        <v>248</v>
      </c>
      <c r="E8" s="62">
        <f t="shared" ref="E8:E25" si="0">($G$4+10)*$F$4/D8-10</f>
        <v>48.064516129032256</v>
      </c>
      <c r="F8" s="62" t="str">
        <f>IF(D8&lt;0,"",IF(E8&gt;($D$4-sikkblåseventil),"",Test_trykk_i_anlegg!E8))</f>
        <v/>
      </c>
      <c r="G8" s="158" t="str">
        <f t="shared" ref="G8:G26" si="1">IFERROR(F8/10,"")</f>
        <v/>
      </c>
    </row>
    <row r="9" spans="1:9">
      <c r="B9">
        <v>15</v>
      </c>
      <c r="C9" s="44">
        <f>VLOOKUP(B9,Data!$A$6:$G$31,Ekspansjon!$M$8)*Ekspansjon!$D$2</f>
        <v>5</v>
      </c>
      <c r="D9" s="44">
        <f t="shared" ref="D9:D26" si="2">IF($F$1&lt;&gt;0,$F$1-C9,$F$4-C9)</f>
        <v>245</v>
      </c>
      <c r="E9" s="62">
        <f t="shared" si="0"/>
        <v>48.775510204081634</v>
      </c>
      <c r="F9" s="62" t="str">
        <f>IF(D9&lt;0,"",IF(E9&gt;($D$4-sikkblåseventil),"",Test_trykk_i_anlegg!E9))</f>
        <v/>
      </c>
      <c r="G9" s="158" t="str">
        <f t="shared" si="1"/>
        <v/>
      </c>
    </row>
    <row r="10" spans="1:9">
      <c r="B10">
        <v>20</v>
      </c>
      <c r="C10" s="44">
        <f>VLOOKUP(B10,Data!$A$6:$G$31,Ekspansjon!$M$8)*Ekspansjon!$D$2</f>
        <v>9</v>
      </c>
      <c r="D10" s="44">
        <f t="shared" si="2"/>
        <v>241</v>
      </c>
      <c r="E10" s="62">
        <f t="shared" si="0"/>
        <v>49.751037344398341</v>
      </c>
      <c r="F10" s="62" t="str">
        <f>IF(D10&lt;0,"",IF(E10&gt;($D$4-sikkblåseventil),"",Test_trykk_i_anlegg!E10))</f>
        <v/>
      </c>
      <c r="G10" s="158" t="str">
        <f t="shared" si="1"/>
        <v/>
      </c>
    </row>
    <row r="11" spans="1:9">
      <c r="B11">
        <v>25</v>
      </c>
      <c r="C11" s="44">
        <f>VLOOKUP(B11,Data!$A$6:$G$31,Ekspansjon!$M$8)*Ekspansjon!$D$2</f>
        <v>15</v>
      </c>
      <c r="D11" s="44">
        <f t="shared" si="2"/>
        <v>235</v>
      </c>
      <c r="E11" s="62">
        <f t="shared" si="0"/>
        <v>51.276595744680854</v>
      </c>
      <c r="F11" s="62" t="str">
        <f>IF(D11&lt;0,"",IF(E11&gt;($D$4-sikkblåseventil),"",Test_trykk_i_anlegg!E11))</f>
        <v/>
      </c>
      <c r="G11" s="158" t="str">
        <f t="shared" si="1"/>
        <v/>
      </c>
    </row>
    <row r="12" spans="1:9">
      <c r="B12">
        <v>30</v>
      </c>
      <c r="C12" s="44">
        <f>VLOOKUP(B12,Data!$A$6:$G$31,Ekspansjon!$M$8)*Ekspansjon!$D$2</f>
        <v>22</v>
      </c>
      <c r="D12" s="44">
        <f t="shared" si="2"/>
        <v>228</v>
      </c>
      <c r="E12" s="62">
        <f t="shared" si="0"/>
        <v>53.157894736842103</v>
      </c>
      <c r="F12" s="62" t="str">
        <f>IF(D12&lt;0,"",IF(E12&gt;($D$4-sikkblåseventil),"",Test_trykk_i_anlegg!E12))</f>
        <v/>
      </c>
      <c r="G12" s="158" t="str">
        <f t="shared" si="1"/>
        <v/>
      </c>
    </row>
    <row r="13" spans="1:9">
      <c r="B13">
        <v>35</v>
      </c>
      <c r="C13" s="44">
        <f>VLOOKUP(B13,Data!$A$6:$G$31,Ekspansjon!$M$8)*Ekspansjon!$D$2</f>
        <v>30.500000000000004</v>
      </c>
      <c r="D13" s="44">
        <f t="shared" si="2"/>
        <v>219.5</v>
      </c>
      <c r="E13" s="62">
        <f t="shared" si="0"/>
        <v>55.603644646924835</v>
      </c>
      <c r="F13" s="62" t="str">
        <f>IF(D13&lt;0,"",IF(E13&gt;($D$4-sikkblåseventil),"",Test_trykk_i_anlegg!E13))</f>
        <v/>
      </c>
      <c r="G13" s="158" t="str">
        <f t="shared" si="1"/>
        <v/>
      </c>
    </row>
    <row r="14" spans="1:9">
      <c r="B14">
        <v>40</v>
      </c>
      <c r="C14" s="44">
        <f>VLOOKUP(B14,Data!$A$6:$G$31,Ekspansjon!$M$8)*Ekspansjon!$D$2</f>
        <v>39.500000000000007</v>
      </c>
      <c r="D14" s="44">
        <f t="shared" si="2"/>
        <v>210.5</v>
      </c>
      <c r="E14" s="62">
        <f t="shared" si="0"/>
        <v>58.408551068883611</v>
      </c>
      <c r="F14" s="62" t="str">
        <f>IF(D14&lt;0,"",IF(E14&gt;($D$4-sikkblåseventil),"",Test_trykk_i_anlegg!E14))</f>
        <v/>
      </c>
      <c r="G14" s="158" t="str">
        <f t="shared" si="1"/>
        <v/>
      </c>
    </row>
    <row r="15" spans="1:9">
      <c r="B15">
        <v>45</v>
      </c>
      <c r="C15" s="44">
        <f>VLOOKUP(B15,Data!$A$6:$G$31,Ekspansjon!$M$8)*Ekspansjon!$D$2</f>
        <v>49.500000000000007</v>
      </c>
      <c r="D15" s="44">
        <f t="shared" si="2"/>
        <v>200.5</v>
      </c>
      <c r="E15" s="62">
        <f t="shared" si="0"/>
        <v>61.820448877805489</v>
      </c>
      <c r="F15" s="62" t="str">
        <f>IF(D15&lt;0,"",IF(E15&gt;($D$4-sikkblåseventil),"",Test_trykk_i_anlegg!E15))</f>
        <v/>
      </c>
      <c r="G15" s="158" t="str">
        <f t="shared" si="1"/>
        <v/>
      </c>
    </row>
    <row r="16" spans="1:9">
      <c r="B16">
        <v>50</v>
      </c>
      <c r="C16" s="44">
        <f>VLOOKUP(B16,Data!$A$6:$G$31,Ekspansjon!$M$8)*Ekspansjon!$D$2</f>
        <v>60.5</v>
      </c>
      <c r="D16" s="44">
        <f t="shared" si="2"/>
        <v>189.5</v>
      </c>
      <c r="E16" s="62">
        <f t="shared" si="0"/>
        <v>65.989445910290243</v>
      </c>
      <c r="F16" s="62" t="str">
        <f>IF(D16&lt;0,"",IF(E16&gt;($D$4-sikkblåseventil),"",Test_trykk_i_anlegg!E16))</f>
        <v/>
      </c>
      <c r="G16" s="158" t="str">
        <f t="shared" si="1"/>
        <v/>
      </c>
    </row>
    <row r="17" spans="2:7">
      <c r="B17">
        <v>55</v>
      </c>
      <c r="C17" s="44">
        <f>VLOOKUP(B17,Data!$A$6:$G$31,Ekspansjon!$M$8)*Ekspansjon!$D$2</f>
        <v>73</v>
      </c>
      <c r="D17" s="44">
        <f t="shared" si="2"/>
        <v>177</v>
      </c>
      <c r="E17" s="62">
        <f t="shared" si="0"/>
        <v>71.355932203389827</v>
      </c>
      <c r="F17" s="62" t="str">
        <f>IF(D17&lt;0,"",IF(E17&gt;($D$4-sikkblåseventil),"",Test_trykk_i_anlegg!E17))</f>
        <v/>
      </c>
      <c r="G17" s="158" t="str">
        <f t="shared" si="1"/>
        <v/>
      </c>
    </row>
    <row r="18" spans="2:7">
      <c r="B18">
        <v>60</v>
      </c>
      <c r="C18" s="44">
        <f>VLOOKUP(B18,Data!$A$6:$G$31,Ekspansjon!$M$8)*Ekspansjon!$D$2</f>
        <v>85.5</v>
      </c>
      <c r="D18" s="44">
        <f t="shared" si="2"/>
        <v>164.5</v>
      </c>
      <c r="E18" s="62">
        <f t="shared" si="0"/>
        <v>77.537993920972639</v>
      </c>
      <c r="F18" s="62" t="str">
        <f>IF(D18&lt;0,"",IF(E18&gt;($D$4-sikkblåseventil),"",Test_trykk_i_anlegg!E18))</f>
        <v/>
      </c>
      <c r="G18" s="158" t="str">
        <f t="shared" si="1"/>
        <v/>
      </c>
    </row>
    <row r="19" spans="2:7">
      <c r="B19">
        <v>65</v>
      </c>
      <c r="C19" s="44">
        <f>VLOOKUP(B19,Data!$A$6:$G$31,Ekspansjon!$M$8)*Ekspansjon!$D$2</f>
        <v>99.5</v>
      </c>
      <c r="D19" s="44">
        <f t="shared" si="2"/>
        <v>150.5</v>
      </c>
      <c r="E19" s="62">
        <f t="shared" si="0"/>
        <v>85.68106312292359</v>
      </c>
      <c r="F19" s="62" t="str">
        <f>IF(D19&lt;0,"",IF(E19&gt;($D$4-sikkblåseventil),"",Test_trykk_i_anlegg!E19))</f>
        <v/>
      </c>
      <c r="G19" s="158" t="str">
        <f t="shared" si="1"/>
        <v/>
      </c>
    </row>
    <row r="20" spans="2:7">
      <c r="B20">
        <v>70</v>
      </c>
      <c r="C20" s="44">
        <f>VLOOKUP(B20,Data!$A$6:$G$31,Ekspansjon!$M$8)*Ekspansjon!$D$2</f>
        <v>114</v>
      </c>
      <c r="D20" s="44">
        <f t="shared" si="2"/>
        <v>136</v>
      </c>
      <c r="E20" s="62">
        <f t="shared" si="0"/>
        <v>95.882352941176464</v>
      </c>
      <c r="F20" s="62" t="str">
        <f>IF(D20&lt;0,"",IF(E20&gt;($D$4-sikkblåseventil),"",Test_trykk_i_anlegg!E20))</f>
        <v/>
      </c>
      <c r="G20" s="158" t="str">
        <f t="shared" si="1"/>
        <v/>
      </c>
    </row>
    <row r="21" spans="2:7">
      <c r="B21">
        <v>75</v>
      </c>
      <c r="C21" s="44">
        <f>VLOOKUP(B21,Data!$A$6:$G$31,Ekspansjon!$M$8)*Ekspansjon!$D$2</f>
        <v>129</v>
      </c>
      <c r="D21" s="44">
        <f t="shared" si="2"/>
        <v>121</v>
      </c>
      <c r="E21" s="62">
        <f t="shared" si="0"/>
        <v>109.00826446280992</v>
      </c>
      <c r="F21" s="62" t="str">
        <f>IF(D21&lt;0,"",IF(E21&gt;($D$4-sikkblåseventil),"",Test_trykk_i_anlegg!E21))</f>
        <v/>
      </c>
      <c r="G21" s="158" t="str">
        <f t="shared" si="1"/>
        <v/>
      </c>
    </row>
    <row r="22" spans="2:7">
      <c r="B22">
        <v>80</v>
      </c>
      <c r="C22" s="44">
        <f>VLOOKUP(B22,Data!$A$6:$G$31,Ekspansjon!$M$8)*Ekspansjon!$D$2</f>
        <v>145</v>
      </c>
      <c r="D22" s="44">
        <f t="shared" si="2"/>
        <v>105</v>
      </c>
      <c r="E22" s="62">
        <f t="shared" si="0"/>
        <v>127.14285714285714</v>
      </c>
      <c r="F22" s="62" t="str">
        <f>IF(D22&lt;0,"",IF(E22&gt;($D$4-sikkblåseventil),"",Test_trykk_i_anlegg!E22))</f>
        <v/>
      </c>
      <c r="G22" s="158" t="str">
        <f t="shared" si="1"/>
        <v/>
      </c>
    </row>
    <row r="23" spans="2:7">
      <c r="B23">
        <v>85</v>
      </c>
      <c r="C23" s="44">
        <f>VLOOKUP(B23,Data!$A$6:$G$31,Ekspansjon!$M$8)*Ekspansjon!$D$2</f>
        <v>161.5</v>
      </c>
      <c r="D23" s="44">
        <f t="shared" si="2"/>
        <v>88.5</v>
      </c>
      <c r="E23" s="62">
        <f t="shared" si="0"/>
        <v>152.71186440677965</v>
      </c>
      <c r="F23" s="62" t="str">
        <f>IF(D23&lt;0,"",IF(E23&gt;($D$4-sikkblåseventil),"",Test_trykk_i_anlegg!E23))</f>
        <v/>
      </c>
      <c r="G23" s="158" t="str">
        <f t="shared" si="1"/>
        <v/>
      </c>
    </row>
    <row r="24" spans="2:7">
      <c r="B24">
        <v>90</v>
      </c>
      <c r="C24" s="44">
        <f>VLOOKUP(B24,Data!$A$6:$G$31,Ekspansjon!$M$8)*Ekspansjon!$D$2</f>
        <v>179.5</v>
      </c>
      <c r="D24" s="44">
        <f t="shared" si="2"/>
        <v>70.5</v>
      </c>
      <c r="E24" s="62">
        <f t="shared" si="0"/>
        <v>194.25531914893617</v>
      </c>
      <c r="F24" s="62" t="str">
        <f>IF(D24&lt;0,"",IF(E24&gt;($D$4-sikkblåseventil),"",Test_trykk_i_anlegg!E24))</f>
        <v/>
      </c>
      <c r="G24" s="158" t="str">
        <f t="shared" si="1"/>
        <v/>
      </c>
    </row>
    <row r="25" spans="2:7">
      <c r="B25">
        <v>95</v>
      </c>
      <c r="C25" s="44">
        <f>VLOOKUP(B25,Data!$A$6:$G$31,Ekspansjon!$M$8)*Ekspansjon!$D$2</f>
        <v>197.5</v>
      </c>
      <c r="D25" s="44">
        <f t="shared" si="2"/>
        <v>52.5</v>
      </c>
      <c r="E25" s="62">
        <f t="shared" si="0"/>
        <v>264.28571428571428</v>
      </c>
      <c r="F25" s="62" t="str">
        <f>IF(D25&lt;0,"",IF(E25&gt;($D$4-sikkblåseventil),"",Test_trykk_i_anlegg!E25))</f>
        <v/>
      </c>
      <c r="G25" s="158" t="str">
        <f t="shared" si="1"/>
        <v/>
      </c>
    </row>
    <row r="26" spans="2:7">
      <c r="B26">
        <v>100</v>
      </c>
      <c r="C26" s="44">
        <f>VLOOKUP(B26,Data!$A$6:$G$31,Ekspansjon!$M$8)*Ekspansjon!$D$2</f>
        <v>217.49999999999997</v>
      </c>
      <c r="D26" s="44">
        <f t="shared" si="2"/>
        <v>32.500000000000028</v>
      </c>
      <c r="E26" s="62">
        <f>($G$4+10)*$F$4/D26-10</f>
        <v>433.0769230769227</v>
      </c>
      <c r="F26" s="62" t="str">
        <f>IF(D26&lt;0,"",IF(E26&gt;($D$4-sikkblåseventil),"",Test_trykk_i_anlegg!E26))</f>
        <v/>
      </c>
      <c r="G26" s="158" t="str">
        <f t="shared" si="1"/>
        <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12"/>
  <dimension ref="A2:Q70"/>
  <sheetViews>
    <sheetView workbookViewId="0">
      <selection activeCell="J25" sqref="J25"/>
    </sheetView>
  </sheetViews>
  <sheetFormatPr baseColWidth="10" defaultColWidth="11.42578125" defaultRowHeight="12.75"/>
  <cols>
    <col min="1" max="1" width="3.28515625" style="45" customWidth="1"/>
    <col min="2" max="2" width="9.28515625" style="45" customWidth="1"/>
    <col min="3" max="3" width="2.7109375" style="45" customWidth="1"/>
    <col min="4" max="4" width="36.85546875" style="45" customWidth="1"/>
    <col min="5" max="5" width="19.42578125" style="45" customWidth="1"/>
    <col min="6" max="6" width="64" style="45" customWidth="1"/>
    <col min="7" max="7" width="18.7109375" style="45" customWidth="1"/>
    <col min="8" max="8" width="11.42578125" style="45"/>
    <col min="9" max="9" width="11.42578125" style="138"/>
    <col min="10" max="10" width="57.85546875" style="138" customWidth="1"/>
    <col min="11" max="17" width="11.42578125" style="138"/>
    <col min="18" max="16384" width="11.42578125" style="45"/>
  </cols>
  <sheetData>
    <row r="2" spans="2:17" ht="18">
      <c r="B2" s="50"/>
      <c r="C2" s="49" t="s">
        <v>90</v>
      </c>
      <c r="D2" s="60"/>
      <c r="E2" s="60"/>
      <c r="F2" s="60"/>
      <c r="G2" s="60"/>
      <c r="H2" s="60"/>
    </row>
    <row r="3" spans="2:17">
      <c r="B3" s="60"/>
      <c r="C3" s="60"/>
      <c r="D3" s="60"/>
      <c r="E3" s="60"/>
      <c r="F3" s="60"/>
      <c r="G3" s="60"/>
      <c r="H3" s="60"/>
    </row>
    <row r="4" spans="2:17">
      <c r="B4" s="50"/>
      <c r="C4" s="60" t="s">
        <v>91</v>
      </c>
      <c r="D4" s="60"/>
      <c r="E4" s="145">
        <v>300</v>
      </c>
      <c r="F4" s="60" t="s">
        <v>23</v>
      </c>
      <c r="G4" s="60"/>
      <c r="H4" s="60"/>
    </row>
    <row r="5" spans="2:17">
      <c r="B5" s="50"/>
      <c r="C5" s="60"/>
      <c r="D5" s="60"/>
      <c r="E5" s="61">
        <f>E4</f>
        <v>300</v>
      </c>
      <c r="F5" s="60"/>
      <c r="G5" s="60"/>
      <c r="H5" s="60"/>
    </row>
    <row r="6" spans="2:17">
      <c r="B6" s="50"/>
      <c r="C6" s="60"/>
      <c r="D6" s="60"/>
      <c r="E6" s="60"/>
      <c r="F6" s="60"/>
      <c r="G6" s="60"/>
      <c r="H6" s="60"/>
    </row>
    <row r="7" spans="2:17">
      <c r="B7" s="50"/>
      <c r="C7" s="60" t="s">
        <v>25</v>
      </c>
      <c r="D7" s="60"/>
      <c r="E7" s="180" t="s">
        <v>26</v>
      </c>
      <c r="F7" s="60"/>
      <c r="G7" s="60"/>
      <c r="H7" s="60"/>
      <c r="P7" s="141" t="s">
        <v>27</v>
      </c>
      <c r="Q7" s="142">
        <v>15</v>
      </c>
    </row>
    <row r="8" spans="2:17">
      <c r="B8" s="50"/>
      <c r="C8" s="60" t="s">
        <v>28</v>
      </c>
      <c r="D8" s="60"/>
      <c r="E8" s="168">
        <v>75</v>
      </c>
      <c r="F8" s="60" t="s">
        <v>29</v>
      </c>
      <c r="G8" s="60"/>
      <c r="H8" s="60"/>
      <c r="P8" s="141" t="s">
        <v>30</v>
      </c>
      <c r="Q8" s="142">
        <v>20</v>
      </c>
    </row>
    <row r="9" spans="2:17">
      <c r="B9" s="50"/>
      <c r="C9" s="60" t="s">
        <v>34</v>
      </c>
      <c r="D9" s="60"/>
      <c r="E9" s="36">
        <f>VLOOKUP('3-rørs system'!E8,Data!A6:F24,Ekspansjon!M8)*'3-rørs system'!E4</f>
        <v>7.74</v>
      </c>
      <c r="F9" s="60" t="s">
        <v>23</v>
      </c>
      <c r="G9" s="60"/>
      <c r="H9" s="60"/>
      <c r="P9" s="141" t="s">
        <v>32</v>
      </c>
      <c r="Q9" s="142">
        <v>25</v>
      </c>
    </row>
    <row r="10" spans="2:17">
      <c r="B10" s="50"/>
      <c r="C10" s="60" t="s">
        <v>92</v>
      </c>
      <c r="D10" s="60"/>
      <c r="E10" s="168">
        <v>55</v>
      </c>
      <c r="F10" s="60" t="s">
        <v>38</v>
      </c>
      <c r="G10" s="60"/>
      <c r="H10" s="60"/>
      <c r="P10" s="141" t="s">
        <v>26</v>
      </c>
      <c r="Q10" s="142">
        <v>30</v>
      </c>
    </row>
    <row r="11" spans="2:17">
      <c r="B11" s="50"/>
      <c r="C11" s="60" t="s">
        <v>40</v>
      </c>
      <c r="D11" s="60"/>
      <c r="E11" s="168">
        <v>90</v>
      </c>
      <c r="F11" s="60" t="s">
        <v>38</v>
      </c>
      <c r="G11" s="60"/>
      <c r="H11" s="60"/>
      <c r="P11" s="141" t="s">
        <v>36</v>
      </c>
      <c r="Q11" s="142">
        <v>35</v>
      </c>
    </row>
    <row r="12" spans="2:17">
      <c r="B12" s="50"/>
      <c r="C12" s="60" t="s">
        <v>41</v>
      </c>
      <c r="D12" s="60"/>
      <c r="E12" s="60">
        <f>E10-5</f>
        <v>50</v>
      </c>
      <c r="F12" s="60" t="s">
        <v>38</v>
      </c>
      <c r="G12" s="60"/>
      <c r="H12" s="60"/>
      <c r="P12" s="141"/>
      <c r="Q12" s="142">
        <v>40</v>
      </c>
    </row>
    <row r="13" spans="2:17">
      <c r="B13" s="50"/>
      <c r="C13" s="60"/>
      <c r="D13" s="60"/>
      <c r="E13" s="60"/>
      <c r="F13" s="60"/>
      <c r="G13" s="60"/>
      <c r="H13" s="60"/>
      <c r="P13" s="141"/>
      <c r="Q13" s="142">
        <v>45</v>
      </c>
    </row>
    <row r="14" spans="2:17">
      <c r="B14" s="50"/>
      <c r="C14" s="170" t="s">
        <v>93</v>
      </c>
      <c r="D14" s="171"/>
      <c r="E14" s="171"/>
      <c r="F14" s="171"/>
      <c r="G14" s="172"/>
      <c r="H14" s="60"/>
      <c r="P14" s="141"/>
      <c r="Q14" s="142">
        <v>50</v>
      </c>
    </row>
    <row r="15" spans="2:17">
      <c r="B15" s="50"/>
      <c r="C15" s="173"/>
      <c r="D15" s="60" t="s">
        <v>44</v>
      </c>
      <c r="E15" s="198">
        <f>((E11-E11*0.1)+10-(E12+10))/('3-rørs system'!E11-E11*0.1+10)</f>
        <v>0.34065934065934067</v>
      </c>
      <c r="F15" s="60"/>
      <c r="G15" s="174"/>
      <c r="H15" s="60"/>
      <c r="P15" s="141"/>
      <c r="Q15" s="142">
        <v>54</v>
      </c>
    </row>
    <row r="16" spans="2:17">
      <c r="B16" s="50"/>
      <c r="C16" s="173"/>
      <c r="D16" s="60" t="s">
        <v>45</v>
      </c>
      <c r="E16" s="199">
        <f>Ekspansjonbereder/E15</f>
        <v>22.720645161290321</v>
      </c>
      <c r="F16" s="60"/>
      <c r="G16" s="174"/>
      <c r="H16" s="60"/>
      <c r="P16" s="141"/>
      <c r="Q16" s="142">
        <v>60</v>
      </c>
    </row>
    <row r="17" spans="1:17" ht="38.25">
      <c r="B17" s="50"/>
      <c r="C17" s="173"/>
      <c r="D17" s="175" t="s">
        <v>46</v>
      </c>
      <c r="E17" s="176" t="str">
        <f>LOOKUP(E16,D46:E61)</f>
        <v>DD 25</v>
      </c>
      <c r="F17" s="177" t="str">
        <f>LOOKUP(E16,I47:J62)</f>
        <v>Reflex membran trykktank med fast membran med legionellasikring, type DD 25 Diameter 354 mm Høyde: 468mm Vekt: 5,8 kg. Trykklasse PN 10 Anslutning: G 3/4</v>
      </c>
      <c r="G17" s="178"/>
      <c r="H17" s="179"/>
      <c r="I17" s="143"/>
      <c r="J17" s="143"/>
      <c r="K17" s="143"/>
      <c r="L17" s="143"/>
      <c r="M17" s="143"/>
      <c r="N17" s="143"/>
      <c r="P17" s="141"/>
      <c r="Q17" s="141"/>
    </row>
    <row r="18" spans="1:17">
      <c r="B18" s="50"/>
      <c r="C18" s="181"/>
      <c r="D18" s="182"/>
      <c r="E18" s="183"/>
      <c r="F18" s="184"/>
      <c r="G18" s="185"/>
      <c r="H18" s="137"/>
      <c r="I18" s="144"/>
      <c r="J18" s="144"/>
      <c r="K18" s="144"/>
      <c r="L18" s="144"/>
      <c r="M18" s="144"/>
      <c r="N18" s="144"/>
    </row>
    <row r="19" spans="1:17">
      <c r="B19" s="50"/>
      <c r="C19" s="60"/>
      <c r="D19" s="60"/>
      <c r="E19" s="180"/>
      <c r="F19" s="60"/>
      <c r="G19" s="60"/>
      <c r="H19" s="60"/>
    </row>
    <row r="20" spans="1:17">
      <c r="A20" s="138"/>
      <c r="B20" s="138"/>
      <c r="C20" s="159"/>
      <c r="D20" s="159"/>
      <c r="E20" s="160"/>
      <c r="F20" s="159"/>
      <c r="G20" s="159"/>
      <c r="H20" s="159"/>
    </row>
    <row r="21" spans="1:17">
      <c r="B21" s="50"/>
      <c r="C21" s="60"/>
      <c r="D21" s="60"/>
      <c r="E21" s="180"/>
      <c r="F21" s="60"/>
      <c r="G21" s="60"/>
      <c r="H21" s="60"/>
      <c r="I21" s="57"/>
      <c r="J21" s="57" t="s">
        <v>94</v>
      </c>
      <c r="K21" s="57" t="s">
        <v>95</v>
      </c>
      <c r="L21" s="57"/>
      <c r="M21" s="57"/>
      <c r="N21" s="57"/>
    </row>
    <row r="22" spans="1:17" ht="18">
      <c r="B22" s="50"/>
      <c r="C22" s="49" t="s">
        <v>96</v>
      </c>
      <c r="D22" s="60"/>
      <c r="E22" s="180"/>
      <c r="F22" s="60"/>
      <c r="G22" s="60"/>
      <c r="H22" s="60"/>
      <c r="I22" s="57">
        <v>0</v>
      </c>
      <c r="J22" s="57">
        <v>1.3</v>
      </c>
      <c r="K22" s="57" t="s">
        <v>97</v>
      </c>
      <c r="L22" s="57"/>
      <c r="M22" s="57"/>
      <c r="N22" s="57"/>
    </row>
    <row r="23" spans="1:17">
      <c r="B23" s="50"/>
      <c r="C23" s="60"/>
      <c r="D23" s="60"/>
      <c r="E23" s="180"/>
      <c r="F23" s="60"/>
      <c r="G23" s="60"/>
      <c r="H23" s="60"/>
      <c r="I23" s="57">
        <v>1.3</v>
      </c>
      <c r="J23" s="57">
        <v>2.2999999999999998</v>
      </c>
      <c r="K23" s="57" t="s">
        <v>98</v>
      </c>
      <c r="L23" s="57"/>
      <c r="M23" s="57"/>
      <c r="N23" s="57"/>
    </row>
    <row r="24" spans="1:17">
      <c r="B24" s="50"/>
      <c r="C24" s="60" t="s">
        <v>99</v>
      </c>
      <c r="D24" s="60"/>
      <c r="E24" s="180"/>
      <c r="F24" s="60"/>
      <c r="G24" s="60"/>
      <c r="H24" s="60"/>
      <c r="I24" s="57">
        <v>2.2999999999999998</v>
      </c>
      <c r="J24" s="57">
        <v>3.6</v>
      </c>
      <c r="K24" s="57" t="s">
        <v>100</v>
      </c>
      <c r="L24" s="57"/>
      <c r="M24" s="57"/>
      <c r="N24" s="57"/>
    </row>
    <row r="25" spans="1:17">
      <c r="B25" s="50"/>
      <c r="C25" s="60"/>
      <c r="D25" s="60"/>
      <c r="E25" s="180"/>
      <c r="F25" s="60"/>
      <c r="G25" s="60"/>
      <c r="H25" s="60"/>
      <c r="I25" s="57">
        <v>3.6</v>
      </c>
      <c r="J25" s="57">
        <v>5.8</v>
      </c>
      <c r="K25" s="57" t="s">
        <v>101</v>
      </c>
      <c r="L25" s="57"/>
      <c r="M25" s="57"/>
      <c r="N25" s="57"/>
    </row>
    <row r="26" spans="1:17" ht="14.25">
      <c r="B26" s="50"/>
      <c r="C26" s="60" t="s">
        <v>102</v>
      </c>
      <c r="D26" s="60"/>
      <c r="E26" s="167">
        <v>5</v>
      </c>
      <c r="F26" s="60" t="s">
        <v>103</v>
      </c>
      <c r="G26" s="60"/>
      <c r="H26" s="60"/>
      <c r="I26" s="57">
        <v>5.8</v>
      </c>
      <c r="J26" s="57">
        <v>9.1</v>
      </c>
      <c r="K26" s="57" t="s">
        <v>104</v>
      </c>
      <c r="L26" s="57"/>
      <c r="M26" s="57"/>
      <c r="N26" s="57"/>
    </row>
    <row r="27" spans="1:17">
      <c r="B27" s="50"/>
      <c r="C27" s="60"/>
      <c r="D27" s="60"/>
      <c r="E27" s="114"/>
      <c r="F27" s="60"/>
      <c r="G27" s="60"/>
      <c r="H27" s="60"/>
      <c r="I27" s="57">
        <v>9.1</v>
      </c>
      <c r="J27" s="57">
        <v>14</v>
      </c>
      <c r="K27" s="57" t="s">
        <v>105</v>
      </c>
      <c r="L27" s="57"/>
      <c r="M27" s="57"/>
      <c r="N27" s="57"/>
    </row>
    <row r="28" spans="1:17">
      <c r="B28" s="50"/>
      <c r="C28" s="60"/>
      <c r="D28" s="60"/>
      <c r="E28" s="140" t="str">
        <f>IF(E10&gt;60,"Ta kontakt med SGP for tilbud",VLOOKUP(E26,I22:K28,3))</f>
        <v>SYR Trykkred.ventil 315 1 1/4" 1.5-6.0 Bar 30°C(NRF 5630019)</v>
      </c>
      <c r="F28" s="60"/>
      <c r="G28" s="60"/>
      <c r="H28" s="60"/>
      <c r="I28" s="57">
        <v>14.01</v>
      </c>
      <c r="J28" s="57"/>
      <c r="K28" s="57" t="s">
        <v>106</v>
      </c>
      <c r="L28" s="57"/>
      <c r="M28" s="57"/>
      <c r="N28" s="57"/>
    </row>
    <row r="29" spans="1:17">
      <c r="B29" s="50"/>
      <c r="C29" s="60"/>
      <c r="D29" s="60"/>
      <c r="E29" s="180"/>
      <c r="F29" s="60"/>
      <c r="G29" s="60"/>
      <c r="H29" s="60"/>
    </row>
    <row r="30" spans="1:17">
      <c r="B30" s="50"/>
      <c r="C30" s="60"/>
      <c r="D30" s="60"/>
      <c r="E30" s="180"/>
      <c r="F30" s="60"/>
      <c r="G30" s="60"/>
      <c r="H30" s="60"/>
    </row>
    <row r="31" spans="1:17" s="138" customFormat="1">
      <c r="B31" s="114"/>
      <c r="C31" s="63"/>
      <c r="D31" s="63"/>
      <c r="E31" s="200"/>
      <c r="F31" s="63"/>
      <c r="G31" s="63"/>
      <c r="H31" s="63"/>
    </row>
    <row r="32" spans="1:17" s="138" customFormat="1">
      <c r="C32" s="159"/>
      <c r="D32" s="159"/>
      <c r="E32" s="160"/>
      <c r="F32" s="159"/>
      <c r="G32" s="159"/>
      <c r="H32" s="159"/>
    </row>
    <row r="33" spans="2:16" s="138" customFormat="1">
      <c r="C33" s="159"/>
      <c r="D33" s="159"/>
      <c r="E33" s="160"/>
      <c r="F33" s="159"/>
      <c r="G33" s="159"/>
      <c r="H33" s="159"/>
    </row>
    <row r="34" spans="2:16" s="138" customFormat="1">
      <c r="C34" s="159"/>
      <c r="D34" s="159"/>
      <c r="E34" s="160"/>
      <c r="F34" s="159"/>
      <c r="G34" s="159"/>
      <c r="H34" s="159"/>
    </row>
    <row r="35" spans="2:16" s="138" customFormat="1">
      <c r="C35" s="159"/>
      <c r="D35" s="159"/>
      <c r="E35" s="160"/>
      <c r="F35" s="159"/>
      <c r="G35" s="159"/>
      <c r="H35" s="159"/>
    </row>
    <row r="36" spans="2:16" s="138" customFormat="1">
      <c r="C36" s="159"/>
      <c r="D36" s="159"/>
      <c r="E36" s="160"/>
      <c r="F36" s="159"/>
      <c r="G36" s="159"/>
      <c r="H36" s="159"/>
    </row>
    <row r="37" spans="2:16" s="138" customFormat="1">
      <c r="C37" s="159"/>
      <c r="D37" s="159"/>
      <c r="E37" s="160"/>
      <c r="F37" s="159"/>
      <c r="G37" s="159"/>
      <c r="H37" s="159"/>
    </row>
    <row r="38" spans="2:16" s="138" customFormat="1">
      <c r="C38" s="159"/>
      <c r="D38" s="159"/>
      <c r="E38" s="160"/>
      <c r="F38" s="159"/>
      <c r="G38" s="159"/>
      <c r="H38" s="159"/>
    </row>
    <row r="39" spans="2:16" s="138" customFormat="1">
      <c r="C39" s="159"/>
      <c r="D39" s="159"/>
      <c r="E39" s="160"/>
      <c r="F39" s="159"/>
      <c r="G39" s="159"/>
      <c r="H39" s="159"/>
    </row>
    <row r="40" spans="2:16" s="138" customFormat="1">
      <c r="C40" s="159"/>
      <c r="D40" s="159"/>
      <c r="E40" s="160"/>
      <c r="F40" s="159"/>
      <c r="G40" s="159"/>
      <c r="H40" s="159"/>
    </row>
    <row r="41" spans="2:16" s="138" customFormat="1">
      <c r="B41" s="159"/>
      <c r="C41" s="159"/>
      <c r="D41" s="159"/>
      <c r="E41" s="160"/>
      <c r="F41" s="159"/>
      <c r="G41" s="159"/>
      <c r="H41" s="159"/>
      <c r="I41" s="159"/>
      <c r="J41" s="159"/>
    </row>
    <row r="42" spans="2:16" s="138" customFormat="1">
      <c r="B42" s="159"/>
      <c r="C42" s="159"/>
      <c r="D42" s="159"/>
      <c r="E42" s="160"/>
      <c r="F42" s="159"/>
      <c r="G42" s="159"/>
      <c r="H42" s="159"/>
      <c r="I42" s="159"/>
      <c r="J42" s="159"/>
    </row>
    <row r="43" spans="2:16" s="138" customFormat="1">
      <c r="B43" s="159"/>
      <c r="C43" s="159"/>
      <c r="D43" s="159"/>
      <c r="E43" s="159"/>
      <c r="F43" s="159"/>
      <c r="G43" s="159"/>
      <c r="H43" s="159"/>
      <c r="I43" s="159"/>
      <c r="J43" s="159"/>
    </row>
    <row r="44" spans="2:16" s="138" customFormat="1">
      <c r="B44" s="159"/>
      <c r="C44" s="159"/>
      <c r="D44" s="159"/>
      <c r="E44" s="159"/>
      <c r="F44" s="159"/>
      <c r="G44" s="159"/>
      <c r="H44" s="159"/>
      <c r="I44" s="159"/>
      <c r="J44" s="159"/>
    </row>
    <row r="45" spans="2:16" s="138" customFormat="1" hidden="1">
      <c r="B45" s="159"/>
      <c r="C45" s="159"/>
      <c r="D45" s="159"/>
      <c r="E45" s="159"/>
      <c r="F45" s="159"/>
      <c r="G45" s="159"/>
      <c r="H45" s="159"/>
      <c r="I45" s="159"/>
      <c r="J45" s="159"/>
    </row>
    <row r="46" spans="2:16" s="57" customFormat="1" hidden="1">
      <c r="B46" s="159"/>
      <c r="C46" s="159"/>
      <c r="D46" s="159">
        <v>0</v>
      </c>
      <c r="E46" s="159" t="s">
        <v>107</v>
      </c>
      <c r="F46" s="159"/>
      <c r="G46" s="159"/>
      <c r="H46" s="159"/>
      <c r="I46" s="159"/>
      <c r="J46" s="159"/>
      <c r="K46" s="159" t="s">
        <v>108</v>
      </c>
      <c r="L46" s="159" t="s">
        <v>109</v>
      </c>
      <c r="M46" s="159" t="s">
        <v>110</v>
      </c>
      <c r="N46" s="159" t="s">
        <v>111</v>
      </c>
      <c r="O46" s="159" t="s">
        <v>112</v>
      </c>
    </row>
    <row r="47" spans="2:16" s="57" customFormat="1" ht="38.25" hidden="1">
      <c r="B47" s="159"/>
      <c r="C47" s="159"/>
      <c r="D47" s="159">
        <v>2</v>
      </c>
      <c r="E47" s="159" t="s">
        <v>113</v>
      </c>
      <c r="F47" s="159"/>
      <c r="G47" s="159"/>
      <c r="H47" s="159"/>
      <c r="I47" s="161">
        <f t="shared" ref="I47:I62" si="0">D46</f>
        <v>0</v>
      </c>
      <c r="J47" s="162" t="str">
        <f>CONCATENATE("Reflex membran trykktank med fast membran med legionellasikring, type ",E46," Diameter ",K47," mm Høyde: ",L47,"mm Vekt: ",O47," kg. Trykklasse PN 10 Anslutning: ",M47)</f>
        <v>Reflex membran trykktank med fast membran med legionellasikring, type DD 2 Diameter 206 mm Høyde: 345mm Vekt: 1,7 kg. Trykklasse PN 10 Anslutning: G 3/4</v>
      </c>
      <c r="K47" s="163">
        <v>206</v>
      </c>
      <c r="L47" s="163">
        <v>345</v>
      </c>
      <c r="M47" s="163" t="s">
        <v>114</v>
      </c>
      <c r="N47" s="163">
        <v>4</v>
      </c>
      <c r="O47" s="163" t="s">
        <v>115</v>
      </c>
      <c r="P47" s="159"/>
    </row>
    <row r="48" spans="2:16" s="57" customFormat="1" ht="38.25" hidden="1">
      <c r="B48" s="159"/>
      <c r="C48" s="159"/>
      <c r="D48" s="159">
        <v>8</v>
      </c>
      <c r="E48" s="159" t="s">
        <v>116</v>
      </c>
      <c r="F48" s="159"/>
      <c r="G48" s="159"/>
      <c r="H48" s="159"/>
      <c r="I48" s="161">
        <f t="shared" si="0"/>
        <v>2</v>
      </c>
      <c r="J48" s="162" t="str">
        <f>CONCATENATE("Reflex membran trykktank med fast membran med legionellasikring, type ",E47," Diameter ",K48," mm Høyde: ",L48,"mm Vekt: ",O48," kg. Trykklasse PN 10 Anslutning: ",M48)</f>
        <v>Reflex membran trykktank med fast membran med legionellasikring, type DD 8 Diameter 280 mm Høyde: 318mm Vekt: 2,0 kg. Trykklasse PN 10 Anslutning: G 3/4</v>
      </c>
      <c r="K48" s="163">
        <v>280</v>
      </c>
      <c r="L48" s="163">
        <v>318</v>
      </c>
      <c r="M48" s="163" t="s">
        <v>114</v>
      </c>
      <c r="N48" s="163">
        <v>4</v>
      </c>
      <c r="O48" s="163" t="s">
        <v>117</v>
      </c>
      <c r="P48" s="159"/>
    </row>
    <row r="49" spans="1:16" s="57" customFormat="1" ht="38.25" hidden="1">
      <c r="B49" s="159"/>
      <c r="C49" s="159"/>
      <c r="D49" s="159">
        <v>12</v>
      </c>
      <c r="E49" s="159" t="s">
        <v>118</v>
      </c>
      <c r="F49" s="159"/>
      <c r="G49" s="159"/>
      <c r="H49" s="159"/>
      <c r="I49" s="161">
        <f t="shared" si="0"/>
        <v>8</v>
      </c>
      <c r="J49" s="162" t="str">
        <f>CONCATENATE("Reflex membran trykktank med fast membran med legionellasikring, type ",E48," Diameter ",K49," mm Høyde: ",L49,"mm Vekt: ",O49," kg. Trykklasse PN 10 Anslutning: ",M49)</f>
        <v>Reflex membran trykktank med fast membran med legionellasikring, type DD 12 Diameter 280 mm Høyde: 420mm Vekt: 2,5 kg. Trykklasse PN 10 Anslutning: G 3/4</v>
      </c>
      <c r="K49" s="163">
        <v>280</v>
      </c>
      <c r="L49" s="163">
        <v>420</v>
      </c>
      <c r="M49" s="163" t="s">
        <v>114</v>
      </c>
      <c r="N49" s="163">
        <v>4</v>
      </c>
      <c r="O49" s="163" t="s">
        <v>119</v>
      </c>
      <c r="P49" s="159"/>
    </row>
    <row r="50" spans="1:16" s="57" customFormat="1" ht="38.25" hidden="1">
      <c r="D50" s="159">
        <v>18</v>
      </c>
      <c r="E50" s="159" t="s">
        <v>120</v>
      </c>
      <c r="F50" s="159"/>
      <c r="G50" s="159"/>
      <c r="H50" s="159"/>
      <c r="I50" s="161">
        <f t="shared" si="0"/>
        <v>12</v>
      </c>
      <c r="J50" s="162" t="str">
        <f t="shared" ref="J50:J61" si="1">CONCATENATE("Reflex membran trykktank med fast membran med legionellasikring, type ",E49," Diameter ",K50," mm Høyde: ",L50,"mm Vekt: ",O50," kg. Trykklasse PN 10 Anslutning: ",M50)</f>
        <v>Reflex membran trykktank med fast membran med legionellasikring, type DD 18 Diameter 280 mm Høyde: 530mm Vekt: 3,3 kg. Trykklasse PN 10 Anslutning: G 3/4</v>
      </c>
      <c r="K50" s="163">
        <v>280</v>
      </c>
      <c r="L50" s="163">
        <v>530</v>
      </c>
      <c r="M50" s="163" t="s">
        <v>114</v>
      </c>
      <c r="N50" s="163">
        <v>4</v>
      </c>
      <c r="O50" s="163" t="s">
        <v>121</v>
      </c>
      <c r="P50" s="159"/>
    </row>
    <row r="51" spans="1:16" s="57" customFormat="1" ht="38.25" hidden="1">
      <c r="D51" s="159">
        <v>25</v>
      </c>
      <c r="E51" s="159" t="s">
        <v>122</v>
      </c>
      <c r="F51" s="159"/>
      <c r="G51" s="159"/>
      <c r="H51" s="159"/>
      <c r="I51" s="161">
        <f t="shared" si="0"/>
        <v>18</v>
      </c>
      <c r="J51" s="162" t="str">
        <f t="shared" si="1"/>
        <v>Reflex membran trykktank med fast membran med legionellasikring, type DD 25 Diameter 354 mm Høyde: 468mm Vekt: 5,8 kg. Trykklasse PN 10 Anslutning: G 3/4</v>
      </c>
      <c r="K51" s="163">
        <v>354</v>
      </c>
      <c r="L51" s="163">
        <v>468</v>
      </c>
      <c r="M51" s="163" t="s">
        <v>114</v>
      </c>
      <c r="N51" s="163">
        <v>4</v>
      </c>
      <c r="O51" s="163" t="s">
        <v>123</v>
      </c>
      <c r="P51" s="159"/>
    </row>
    <row r="52" spans="1:16" s="57" customFormat="1" ht="38.25" hidden="1">
      <c r="D52" s="159">
        <v>33</v>
      </c>
      <c r="E52" s="159" t="s">
        <v>124</v>
      </c>
      <c r="F52" s="159"/>
      <c r="G52" s="159"/>
      <c r="H52" s="159"/>
      <c r="I52" s="161">
        <f t="shared" si="0"/>
        <v>25</v>
      </c>
      <c r="J52" s="162" t="str">
        <f t="shared" si="1"/>
        <v>Reflex membran trykktank med fast membran med legionellasikring, type DD 33 Diameter 354 mm Høyde: 468mm Vekt: 5,8 kg. Trykklasse PN 10 Anslutning: G 3/4</v>
      </c>
      <c r="K52" s="163">
        <v>354</v>
      </c>
      <c r="L52" s="163">
        <v>468</v>
      </c>
      <c r="M52" s="163" t="s">
        <v>114</v>
      </c>
      <c r="N52" s="163">
        <v>4</v>
      </c>
      <c r="O52" s="163" t="s">
        <v>123</v>
      </c>
      <c r="P52" s="159"/>
    </row>
    <row r="53" spans="1:16" s="57" customFormat="1" ht="38.25" hidden="1">
      <c r="D53" s="159">
        <v>60</v>
      </c>
      <c r="E53" s="159" t="s">
        <v>125</v>
      </c>
      <c r="F53" s="159"/>
      <c r="G53" s="159"/>
      <c r="H53" s="159"/>
      <c r="I53" s="161">
        <f t="shared" si="0"/>
        <v>33</v>
      </c>
      <c r="J53" s="162" t="str">
        <f t="shared" si="1"/>
        <v>Reflex membran trykktank med fast membran med legionellasikring, type DT 60 Diameter 409 mm Høyde: 766mm Vekt: 15 kg. Trykklasse PN 10 Anslutning: G 1 1/4</v>
      </c>
      <c r="K53" s="163">
        <v>409</v>
      </c>
      <c r="L53" s="163">
        <v>766</v>
      </c>
      <c r="M53" s="163" t="s">
        <v>126</v>
      </c>
      <c r="N53" s="163">
        <v>4</v>
      </c>
      <c r="O53" s="163">
        <v>15</v>
      </c>
      <c r="P53" s="159"/>
    </row>
    <row r="54" spans="1:16" s="57" customFormat="1" ht="38.25" hidden="1">
      <c r="D54" s="159">
        <v>80</v>
      </c>
      <c r="E54" s="159" t="s">
        <v>127</v>
      </c>
      <c r="F54" s="159"/>
      <c r="G54" s="159"/>
      <c r="H54" s="159"/>
      <c r="I54" s="161">
        <f t="shared" si="0"/>
        <v>60</v>
      </c>
      <c r="J54" s="162" t="str">
        <f t="shared" si="1"/>
        <v>Reflex membran trykktank med fast membran med legionellasikring, type DT 80 Diameter 409 mm Høyde: 766mm Vekt: 15 kg. Trykklasse PN 10 Anslutning: G 1 1/4</v>
      </c>
      <c r="K54" s="163">
        <v>409</v>
      </c>
      <c r="L54" s="163">
        <v>766</v>
      </c>
      <c r="M54" s="163" t="s">
        <v>126</v>
      </c>
      <c r="N54" s="163">
        <v>4</v>
      </c>
      <c r="O54" s="163">
        <v>15</v>
      </c>
      <c r="P54" s="159"/>
    </row>
    <row r="55" spans="1:16" s="57" customFormat="1" ht="38.25" hidden="1">
      <c r="D55" s="159">
        <v>100</v>
      </c>
      <c r="E55" s="159" t="s">
        <v>128</v>
      </c>
      <c r="F55" s="159"/>
      <c r="G55" s="159"/>
      <c r="H55" s="159"/>
      <c r="I55" s="161">
        <f t="shared" si="0"/>
        <v>80</v>
      </c>
      <c r="J55" s="162" t="str">
        <f t="shared" si="1"/>
        <v>Reflex membran trykktank med fast membran med legionellasikring, type DT 100 Diameter 480 mm Høyde: 750mm Vekt: 16 kg. Trykklasse PN 10 Anslutning: G 1 1/4</v>
      </c>
      <c r="K55" s="163">
        <v>480</v>
      </c>
      <c r="L55" s="163">
        <v>750</v>
      </c>
      <c r="M55" s="163" t="s">
        <v>126</v>
      </c>
      <c r="N55" s="163">
        <v>4</v>
      </c>
      <c r="O55" s="163">
        <v>16</v>
      </c>
      <c r="P55" s="159"/>
    </row>
    <row r="56" spans="1:16" s="57" customFormat="1" ht="38.25" hidden="1">
      <c r="D56" s="159">
        <v>200</v>
      </c>
      <c r="E56" s="159" t="s">
        <v>129</v>
      </c>
      <c r="F56" s="159"/>
      <c r="G56" s="159"/>
      <c r="H56" s="159"/>
      <c r="I56" s="161">
        <f t="shared" si="0"/>
        <v>100</v>
      </c>
      <c r="J56" s="162" t="str">
        <f t="shared" si="1"/>
        <v>Reflex membran trykktank med fast membran med legionellasikring, type DT 200 Diameter 480 mm Høyde: 856mm Vekt: 19 kg. Trykklasse PN 10 Anslutning: G 1 1/4</v>
      </c>
      <c r="K56" s="163">
        <v>480</v>
      </c>
      <c r="L56" s="163">
        <v>856</v>
      </c>
      <c r="M56" s="163" t="s">
        <v>126</v>
      </c>
      <c r="N56" s="163">
        <v>4</v>
      </c>
      <c r="O56" s="163">
        <v>19</v>
      </c>
      <c r="P56" s="159"/>
    </row>
    <row r="57" spans="1:16" s="57" customFormat="1" ht="38.25" hidden="1">
      <c r="D57" s="159">
        <v>300</v>
      </c>
      <c r="E57" s="159" t="s">
        <v>130</v>
      </c>
      <c r="F57" s="159"/>
      <c r="G57" s="159"/>
      <c r="H57" s="159"/>
      <c r="I57" s="161">
        <f t="shared" si="0"/>
        <v>200</v>
      </c>
      <c r="J57" s="162" t="str">
        <f t="shared" si="1"/>
        <v>Reflex membran trykktank med fast membran med legionellasikring, type DT 300 Diameter 634 mm Høyde: 975mm Vekt: 37 kg. Trykklasse PN 10 Anslutning: G 1 1/4</v>
      </c>
      <c r="K57" s="163">
        <v>634</v>
      </c>
      <c r="L57" s="163">
        <v>975</v>
      </c>
      <c r="M57" s="163" t="s">
        <v>126</v>
      </c>
      <c r="N57" s="163">
        <v>4</v>
      </c>
      <c r="O57" s="163">
        <v>37</v>
      </c>
      <c r="P57" s="159"/>
    </row>
    <row r="58" spans="1:16" s="57" customFormat="1" ht="38.25" hidden="1">
      <c r="D58" s="159">
        <v>400</v>
      </c>
      <c r="E58" s="159" t="s">
        <v>131</v>
      </c>
      <c r="F58" s="159"/>
      <c r="G58" s="159"/>
      <c r="H58" s="159"/>
      <c r="I58" s="161">
        <f t="shared" si="0"/>
        <v>300</v>
      </c>
      <c r="J58" s="162" t="str">
        <f t="shared" si="1"/>
        <v>Reflex membran trykktank med fast membran med legionellasikring, type DT 400 Diameter 634 mm Høyde: 1275mm Vekt: 44 kg. Trykklasse PN 10 Anslutning: G 1 1/4</v>
      </c>
      <c r="K58" s="163">
        <v>634</v>
      </c>
      <c r="L58" s="163">
        <v>1275</v>
      </c>
      <c r="M58" s="163" t="s">
        <v>126</v>
      </c>
      <c r="N58" s="163">
        <v>4</v>
      </c>
      <c r="O58" s="163">
        <v>44</v>
      </c>
      <c r="P58" s="159"/>
    </row>
    <row r="59" spans="1:16" s="57" customFormat="1" ht="38.25" hidden="1">
      <c r="D59" s="159">
        <v>500</v>
      </c>
      <c r="E59" s="159" t="s">
        <v>132</v>
      </c>
      <c r="F59" s="159"/>
      <c r="G59" s="159"/>
      <c r="H59" s="159"/>
      <c r="I59" s="161">
        <f t="shared" si="0"/>
        <v>400</v>
      </c>
      <c r="J59" s="162" t="str">
        <f t="shared" si="1"/>
        <v>Reflex membran trykktank med fast membran med legionellasikring, type DT 500 Diameter 740 mm Høyde: 1245mm Vekt: 73 kg. Trykklasse PN 10 Anslutning: G 1 1/4</v>
      </c>
      <c r="K59" s="163">
        <v>740</v>
      </c>
      <c r="L59" s="163">
        <v>1245</v>
      </c>
      <c r="M59" s="163" t="s">
        <v>126</v>
      </c>
      <c r="N59" s="163">
        <v>4</v>
      </c>
      <c r="O59" s="163">
        <v>73</v>
      </c>
      <c r="P59" s="159"/>
    </row>
    <row r="60" spans="1:16" s="57" customFormat="1" ht="38.25" hidden="1">
      <c r="D60" s="159">
        <v>600</v>
      </c>
      <c r="E60" s="159" t="s">
        <v>133</v>
      </c>
      <c r="F60" s="159"/>
      <c r="G60" s="159"/>
      <c r="H60" s="159"/>
      <c r="I60" s="161">
        <f t="shared" si="0"/>
        <v>500</v>
      </c>
      <c r="J60" s="162" t="str">
        <f t="shared" si="1"/>
        <v>Reflex membran trykktank med fast membran med legionellasikring, type DT 600 Diameter 740 mm Høyde: 1475mm Vekt: 75 kg. Trykklasse PN 10 Anslutning: G 1 1/4</v>
      </c>
      <c r="K60" s="163">
        <v>740</v>
      </c>
      <c r="L60" s="163">
        <v>1475</v>
      </c>
      <c r="M60" s="163" t="s">
        <v>126</v>
      </c>
      <c r="N60" s="163">
        <v>4</v>
      </c>
      <c r="O60" s="163">
        <v>75</v>
      </c>
      <c r="P60" s="159"/>
    </row>
    <row r="61" spans="1:16" s="57" customFormat="1" ht="38.25" hidden="1">
      <c r="D61" s="159">
        <v>1000</v>
      </c>
      <c r="E61" s="159" t="s">
        <v>76</v>
      </c>
      <c r="F61" s="159"/>
      <c r="G61" s="159"/>
      <c r="H61" s="159"/>
      <c r="I61" s="161">
        <f t="shared" si="0"/>
        <v>600</v>
      </c>
      <c r="J61" s="162" t="str">
        <f t="shared" si="1"/>
        <v>Reflex membran trykktank med fast membran med legionellasikring, type DT 1000 Diameter 740 mm Høyde: 1860mm Vekt: 164 kg. Trykklasse PN 10 Anslutning: DN 50</v>
      </c>
      <c r="K61" s="163">
        <v>740</v>
      </c>
      <c r="L61" s="163">
        <v>1860</v>
      </c>
      <c r="M61" s="163" t="s">
        <v>134</v>
      </c>
      <c r="N61" s="163">
        <v>4</v>
      </c>
      <c r="O61" s="163">
        <v>164</v>
      </c>
      <c r="P61" s="159"/>
    </row>
    <row r="62" spans="1:16" s="138" customFormat="1" hidden="1">
      <c r="A62" s="45"/>
      <c r="B62" s="45"/>
      <c r="C62" s="45"/>
      <c r="D62" s="113"/>
      <c r="E62" s="113"/>
      <c r="F62" s="113"/>
      <c r="G62" s="113"/>
      <c r="H62" s="113"/>
      <c r="I62" s="161">
        <f t="shared" si="0"/>
        <v>1000</v>
      </c>
      <c r="J62" s="159"/>
      <c r="L62" s="159"/>
      <c r="M62" s="159"/>
      <c r="N62" s="159"/>
      <c r="O62" s="159"/>
      <c r="P62" s="159"/>
    </row>
    <row r="63" spans="1:16" s="138" customFormat="1" hidden="1">
      <c r="A63" s="45"/>
      <c r="B63" s="45"/>
      <c r="C63" s="45"/>
      <c r="D63" s="113"/>
      <c r="E63" s="113"/>
      <c r="F63" s="113"/>
      <c r="G63" s="113"/>
      <c r="H63" s="113"/>
      <c r="I63" s="159"/>
      <c r="J63" s="159"/>
    </row>
    <row r="64" spans="1:16" s="138" customFormat="1" hidden="1">
      <c r="A64" s="45"/>
      <c r="B64" s="45"/>
      <c r="C64" s="45"/>
      <c r="D64" s="45"/>
      <c r="E64" s="45"/>
      <c r="F64" s="45"/>
      <c r="G64" s="45"/>
      <c r="H64" s="45"/>
      <c r="I64" s="139"/>
      <c r="J64" s="139"/>
    </row>
    <row r="65" hidden="1"/>
    <row r="66" hidden="1"/>
    <row r="67" hidden="1"/>
    <row r="68" hidden="1"/>
    <row r="69" hidden="1"/>
    <row r="70" hidden="1"/>
  </sheetData>
  <sheetProtection sheet="1" objects="1" scenarios="1"/>
  <dataValidations count="1">
    <dataValidation type="list" allowBlank="1" showInputMessage="1" showErrorMessage="1" sqref="E7" xr:uid="{00000000-0002-0000-0200-000000000000}">
      <formula1>$P$7:$P$11</formula1>
    </dataValidation>
  </dataValidations>
  <pageMargins left="0.7" right="0.7" top="0.78740157499999996" bottom="0.78740157499999996"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5"/>
  <dimension ref="A2:Q65"/>
  <sheetViews>
    <sheetView topLeftCell="A3" workbookViewId="0">
      <selection activeCell="E10" sqref="E10"/>
    </sheetView>
  </sheetViews>
  <sheetFormatPr baseColWidth="10" defaultColWidth="11.42578125" defaultRowHeight="12.75"/>
  <cols>
    <col min="1" max="1" width="3.28515625" style="45" customWidth="1"/>
    <col min="2" max="2" width="9.28515625" style="45" customWidth="1"/>
    <col min="3" max="3" width="2.7109375" style="45" customWidth="1"/>
    <col min="4" max="4" width="36.85546875" style="45" customWidth="1"/>
    <col min="5" max="5" width="19.42578125" style="45" customWidth="1"/>
    <col min="6" max="6" width="64" style="45" customWidth="1"/>
    <col min="7" max="7" width="18.7109375" style="45" customWidth="1"/>
    <col min="8" max="8" width="11.42578125" style="45"/>
    <col min="9" max="9" width="11.42578125" style="138"/>
    <col min="10" max="10" width="10" style="138" customWidth="1"/>
    <col min="11" max="17" width="11.42578125" style="138"/>
    <col min="18" max="16384" width="11.42578125" style="45"/>
  </cols>
  <sheetData>
    <row r="2" spans="2:17" ht="18">
      <c r="B2" s="50"/>
      <c r="C2" s="49" t="s">
        <v>135</v>
      </c>
      <c r="D2" s="60"/>
      <c r="E2" s="60"/>
      <c r="F2" s="60"/>
      <c r="G2" s="60"/>
      <c r="H2" s="60"/>
    </row>
    <row r="3" spans="2:17">
      <c r="B3" s="60"/>
      <c r="C3" s="60"/>
      <c r="D3" s="60"/>
      <c r="E3" s="60"/>
      <c r="F3" s="60"/>
      <c r="G3" s="60"/>
      <c r="H3" s="60"/>
    </row>
    <row r="4" spans="2:17">
      <c r="B4" s="50"/>
      <c r="C4" s="60" t="s">
        <v>22</v>
      </c>
      <c r="D4" s="60"/>
      <c r="E4" s="145">
        <v>1700</v>
      </c>
      <c r="F4" s="60" t="s">
        <v>23</v>
      </c>
      <c r="G4" s="60"/>
      <c r="H4" s="60"/>
    </row>
    <row r="5" spans="2:17">
      <c r="B5" s="50"/>
      <c r="C5" s="60"/>
      <c r="D5" s="60"/>
      <c r="E5" s="61">
        <f>E4</f>
        <v>1700</v>
      </c>
      <c r="F5" s="60"/>
      <c r="G5" s="60"/>
      <c r="H5" s="60"/>
    </row>
    <row r="6" spans="2:17">
      <c r="B6" s="50"/>
      <c r="C6" s="60"/>
      <c r="D6" s="60"/>
      <c r="E6" s="60"/>
      <c r="F6" s="60"/>
      <c r="G6" s="60"/>
      <c r="H6" s="60"/>
    </row>
    <row r="7" spans="2:17">
      <c r="B7" s="50"/>
      <c r="C7" s="60" t="s">
        <v>25</v>
      </c>
      <c r="D7" s="60"/>
      <c r="E7" s="180" t="s">
        <v>26</v>
      </c>
      <c r="F7" s="60"/>
      <c r="G7" s="60"/>
      <c r="H7" s="60"/>
      <c r="P7" s="141" t="s">
        <v>27</v>
      </c>
      <c r="Q7" s="142">
        <v>15</v>
      </c>
    </row>
    <row r="8" spans="2:17">
      <c r="B8" s="50"/>
      <c r="C8" s="60" t="s">
        <v>28</v>
      </c>
      <c r="D8" s="60"/>
      <c r="E8" s="168">
        <v>70</v>
      </c>
      <c r="F8" s="60" t="s">
        <v>29</v>
      </c>
      <c r="G8" s="60"/>
      <c r="H8" s="60"/>
      <c r="P8" s="141" t="s">
        <v>30</v>
      </c>
      <c r="Q8" s="142">
        <v>20</v>
      </c>
    </row>
    <row r="9" spans="2:17">
      <c r="B9" s="50"/>
      <c r="C9" s="60" t="s">
        <v>34</v>
      </c>
      <c r="D9" s="60"/>
      <c r="E9" s="36">
        <f>VLOOKUP(Bereder!E8,Data!A6:F24,2)*Bereder!E4</f>
        <v>38.76</v>
      </c>
      <c r="F9" s="60" t="s">
        <v>23</v>
      </c>
      <c r="G9" s="60"/>
      <c r="H9" s="60"/>
      <c r="P9" s="141" t="s">
        <v>32</v>
      </c>
      <c r="Q9" s="142">
        <v>25</v>
      </c>
    </row>
    <row r="10" spans="2:17">
      <c r="B10" s="50"/>
      <c r="C10" s="60" t="s">
        <v>92</v>
      </c>
      <c r="D10" s="60"/>
      <c r="E10" s="168">
        <v>50</v>
      </c>
      <c r="F10" s="60" t="s">
        <v>38</v>
      </c>
      <c r="G10" s="60"/>
      <c r="H10" s="60"/>
      <c r="P10" s="141" t="s">
        <v>26</v>
      </c>
      <c r="Q10" s="142">
        <v>30</v>
      </c>
    </row>
    <row r="11" spans="2:17">
      <c r="B11" s="50"/>
      <c r="C11" s="60" t="s">
        <v>40</v>
      </c>
      <c r="D11" s="60"/>
      <c r="E11" s="168">
        <v>90</v>
      </c>
      <c r="F11" s="60" t="s">
        <v>38</v>
      </c>
      <c r="G11" s="60"/>
      <c r="H11" s="60"/>
      <c r="P11" s="141" t="s">
        <v>36</v>
      </c>
      <c r="Q11" s="142">
        <v>35</v>
      </c>
    </row>
    <row r="12" spans="2:17">
      <c r="B12" s="50"/>
      <c r="C12" s="60" t="s">
        <v>41</v>
      </c>
      <c r="D12" s="60"/>
      <c r="E12" s="60">
        <f>E10-5</f>
        <v>45</v>
      </c>
      <c r="F12" s="60" t="s">
        <v>38</v>
      </c>
      <c r="G12" s="60"/>
      <c r="H12" s="60"/>
      <c r="P12" s="141"/>
      <c r="Q12" s="142">
        <v>40</v>
      </c>
    </row>
    <row r="13" spans="2:17">
      <c r="B13" s="50"/>
      <c r="C13" s="60"/>
      <c r="D13" s="60"/>
      <c r="E13" s="60"/>
      <c r="F13" s="60"/>
      <c r="G13" s="60"/>
      <c r="H13" s="60"/>
      <c r="P13" s="141"/>
      <c r="Q13" s="142">
        <v>45</v>
      </c>
    </row>
    <row r="14" spans="2:17">
      <c r="B14" s="50"/>
      <c r="C14" s="170" t="s">
        <v>93</v>
      </c>
      <c r="D14" s="171"/>
      <c r="E14" s="171"/>
      <c r="F14" s="171"/>
      <c r="G14" s="172"/>
      <c r="H14" s="60"/>
      <c r="P14" s="141"/>
      <c r="Q14" s="142">
        <v>50</v>
      </c>
    </row>
    <row r="15" spans="2:17">
      <c r="B15" s="50"/>
      <c r="C15" s="173"/>
      <c r="D15" s="60" t="s">
        <v>44</v>
      </c>
      <c r="E15" s="198">
        <f>((E11-E11*0.1)+10-(E12+10))/(Bereder!E11-E11*0.1+10)</f>
        <v>0.39560439560439559</v>
      </c>
      <c r="F15" s="60"/>
      <c r="G15" s="174"/>
      <c r="H15" s="60"/>
      <c r="P15" s="141"/>
      <c r="Q15" s="142">
        <v>54</v>
      </c>
    </row>
    <row r="16" spans="2:17">
      <c r="B16" s="50"/>
      <c r="C16" s="173"/>
      <c r="D16" s="60" t="s">
        <v>45</v>
      </c>
      <c r="E16" s="199">
        <f>Ekspansjonbereder/E15</f>
        <v>97.976666666666659</v>
      </c>
      <c r="F16" s="60"/>
      <c r="G16" s="174"/>
      <c r="H16" s="60"/>
      <c r="P16" s="141"/>
      <c r="Q16" s="142">
        <v>60</v>
      </c>
    </row>
    <row r="17" spans="1:17" ht="38.25">
      <c r="B17" s="50"/>
      <c r="C17" s="173"/>
      <c r="D17" s="175" t="s">
        <v>46</v>
      </c>
      <c r="E17" s="176" t="str">
        <f>LOOKUP(E16,D46:E62)</f>
        <v>DE 100</v>
      </c>
      <c r="F17" s="177" t="str">
        <f>LOOKUP(E16,I47:J63)</f>
        <v>Reflex membran trykktank med utskiftbar membran, type DE 100
Diameter: 480 mm Høyde: 835 mm Vekt:  25 kg Trykklasse: PN 10 Anslutning: R 1'' Standard ladetrykk: 4 bar</v>
      </c>
      <c r="G17" s="178"/>
      <c r="H17" s="179"/>
      <c r="I17" s="143"/>
      <c r="J17" s="143"/>
      <c r="K17" s="143"/>
      <c r="L17" s="143"/>
      <c r="M17" s="143"/>
      <c r="N17" s="143"/>
      <c r="P17" s="141"/>
      <c r="Q17" s="141"/>
    </row>
    <row r="18" spans="1:17">
      <c r="B18" s="50"/>
      <c r="C18" s="181"/>
      <c r="D18" s="182"/>
      <c r="E18" s="183"/>
      <c r="F18" s="184"/>
      <c r="G18" s="185"/>
      <c r="H18" s="137"/>
      <c r="I18" s="144"/>
      <c r="J18" s="144"/>
      <c r="K18" s="144"/>
      <c r="L18" s="144"/>
      <c r="M18" s="144"/>
      <c r="N18" s="144"/>
    </row>
    <row r="19" spans="1:17">
      <c r="B19" s="50"/>
      <c r="C19" s="60"/>
      <c r="D19" s="60"/>
      <c r="E19" s="180"/>
      <c r="F19" s="60"/>
      <c r="G19" s="60"/>
      <c r="H19" s="60"/>
    </row>
    <row r="20" spans="1:17">
      <c r="A20" s="138"/>
      <c r="B20" s="138"/>
      <c r="C20" s="159"/>
      <c r="D20" s="159"/>
      <c r="E20" s="160"/>
      <c r="F20" s="159"/>
      <c r="G20" s="159"/>
      <c r="H20" s="159"/>
    </row>
    <row r="21" spans="1:17">
      <c r="B21" s="50"/>
      <c r="C21" s="60"/>
      <c r="D21" s="60"/>
      <c r="E21" s="180"/>
      <c r="F21" s="60"/>
      <c r="G21" s="60"/>
      <c r="H21" s="60"/>
      <c r="I21" s="57"/>
      <c r="J21" s="57" t="s">
        <v>94</v>
      </c>
      <c r="K21" s="57" t="s">
        <v>95</v>
      </c>
      <c r="L21" s="57"/>
      <c r="M21" s="57"/>
      <c r="N21" s="57"/>
    </row>
    <row r="22" spans="1:17" ht="18">
      <c r="B22" s="50"/>
      <c r="C22" s="49" t="s">
        <v>96</v>
      </c>
      <c r="D22" s="60"/>
      <c r="E22" s="180"/>
      <c r="F22" s="60"/>
      <c r="G22" s="60"/>
      <c r="H22" s="60"/>
      <c r="I22" s="57">
        <v>0</v>
      </c>
      <c r="J22" s="57">
        <v>1.3</v>
      </c>
      <c r="K22" s="57" t="s">
        <v>97</v>
      </c>
      <c r="L22" s="57"/>
      <c r="M22" s="57"/>
      <c r="N22" s="57"/>
    </row>
    <row r="23" spans="1:17">
      <c r="B23" s="50"/>
      <c r="C23" s="60"/>
      <c r="D23" s="60"/>
      <c r="E23" s="180"/>
      <c r="F23" s="60"/>
      <c r="G23" s="60"/>
      <c r="H23" s="60"/>
      <c r="I23" s="57">
        <v>1.3</v>
      </c>
      <c r="J23" s="57">
        <v>2.2999999999999998</v>
      </c>
      <c r="K23" s="57" t="s">
        <v>98</v>
      </c>
      <c r="L23" s="57"/>
      <c r="M23" s="57"/>
      <c r="N23" s="57"/>
    </row>
    <row r="24" spans="1:17">
      <c r="B24" s="50"/>
      <c r="C24" s="60" t="s">
        <v>99</v>
      </c>
      <c r="D24" s="60"/>
      <c r="E24" s="180"/>
      <c r="F24" s="60"/>
      <c r="G24" s="60"/>
      <c r="H24" s="60"/>
      <c r="I24" s="57">
        <v>2.2999999999999998</v>
      </c>
      <c r="J24" s="57">
        <v>3.6</v>
      </c>
      <c r="K24" s="57" t="s">
        <v>100</v>
      </c>
      <c r="L24" s="57"/>
      <c r="M24" s="57"/>
      <c r="N24" s="57"/>
    </row>
    <row r="25" spans="1:17">
      <c r="B25" s="50"/>
      <c r="C25" s="60"/>
      <c r="D25" s="60"/>
      <c r="E25" s="180"/>
      <c r="F25" s="60"/>
      <c r="G25" s="60"/>
      <c r="H25" s="60"/>
      <c r="I25" s="57">
        <v>3.6</v>
      </c>
      <c r="J25" s="57">
        <v>5.8</v>
      </c>
      <c r="K25" s="57" t="s">
        <v>101</v>
      </c>
      <c r="L25" s="57"/>
      <c r="M25" s="57"/>
      <c r="N25" s="57"/>
    </row>
    <row r="26" spans="1:17" ht="14.25">
      <c r="B26" s="50"/>
      <c r="C26" s="60" t="s">
        <v>102</v>
      </c>
      <c r="D26" s="60"/>
      <c r="E26" s="167">
        <v>5</v>
      </c>
      <c r="F26" s="60" t="s">
        <v>103</v>
      </c>
      <c r="G26" s="60"/>
      <c r="H26" s="60"/>
      <c r="I26" s="57">
        <v>5.8</v>
      </c>
      <c r="J26" s="57">
        <v>9.1</v>
      </c>
      <c r="K26" s="57" t="s">
        <v>104</v>
      </c>
      <c r="L26" s="57"/>
      <c r="M26" s="57"/>
      <c r="N26" s="57"/>
    </row>
    <row r="27" spans="1:17">
      <c r="B27" s="50"/>
      <c r="C27" s="60"/>
      <c r="D27" s="60"/>
      <c r="E27" s="114"/>
      <c r="F27" s="60"/>
      <c r="G27" s="60"/>
      <c r="H27" s="60"/>
      <c r="I27" s="57">
        <v>9.1</v>
      </c>
      <c r="J27" s="57">
        <v>14</v>
      </c>
      <c r="K27" s="57" t="s">
        <v>105</v>
      </c>
      <c r="L27" s="57"/>
      <c r="M27" s="57"/>
      <c r="N27" s="57"/>
    </row>
    <row r="28" spans="1:17">
      <c r="B28" s="50"/>
      <c r="C28" s="60"/>
      <c r="D28" s="60"/>
      <c r="E28" s="140" t="str">
        <f>IF(E10&gt;60,"Ta kontakt med SGP for tilbud",VLOOKUP(E26,I22:K28,3))</f>
        <v>SYR Trykkred.ventil 315 1 1/4" 1.5-6.0 Bar 30°C(NRF 5630019)</v>
      </c>
      <c r="F28" s="60"/>
      <c r="G28" s="60"/>
      <c r="H28" s="60"/>
      <c r="I28" s="57">
        <v>14.01</v>
      </c>
      <c r="J28" s="57"/>
      <c r="K28" s="57" t="s">
        <v>106</v>
      </c>
      <c r="L28" s="57"/>
      <c r="M28" s="57"/>
      <c r="N28" s="57"/>
    </row>
    <row r="29" spans="1:17">
      <c r="B29" s="50"/>
      <c r="C29" s="60"/>
      <c r="D29" s="60"/>
      <c r="E29" s="180"/>
      <c r="F29" s="60"/>
      <c r="G29" s="60"/>
      <c r="H29" s="60"/>
    </row>
    <row r="30" spans="1:17">
      <c r="B30" s="50"/>
      <c r="C30" s="60"/>
      <c r="D30" s="60"/>
      <c r="E30" s="180"/>
      <c r="F30" s="60"/>
      <c r="G30" s="60"/>
      <c r="H30" s="60"/>
    </row>
    <row r="31" spans="1:17" s="138" customFormat="1">
      <c r="B31" s="114"/>
      <c r="C31" s="63"/>
      <c r="D31" s="63"/>
      <c r="E31" s="200"/>
      <c r="F31" s="63"/>
      <c r="G31" s="63"/>
      <c r="H31" s="63"/>
    </row>
    <row r="32" spans="1:17" s="138" customFormat="1">
      <c r="C32" s="159"/>
      <c r="D32" s="159"/>
      <c r="E32" s="160"/>
      <c r="F32" s="159"/>
      <c r="G32" s="159"/>
      <c r="H32" s="159"/>
    </row>
    <row r="33" spans="3:10" s="138" customFormat="1">
      <c r="C33" s="159"/>
      <c r="D33" s="159"/>
      <c r="E33" s="160"/>
      <c r="F33" s="159"/>
      <c r="G33" s="159"/>
      <c r="H33" s="159"/>
    </row>
    <row r="34" spans="3:10" s="138" customFormat="1">
      <c r="C34" s="159"/>
      <c r="D34" s="159"/>
      <c r="E34" s="160"/>
      <c r="F34" s="159"/>
      <c r="G34" s="159"/>
      <c r="H34" s="159"/>
    </row>
    <row r="35" spans="3:10" s="138" customFormat="1">
      <c r="C35" s="159"/>
      <c r="D35" s="159"/>
      <c r="E35" s="160"/>
      <c r="F35" s="159"/>
      <c r="G35" s="159"/>
      <c r="H35" s="159"/>
    </row>
    <row r="36" spans="3:10" s="138" customFormat="1">
      <c r="C36" s="159"/>
      <c r="D36" s="159"/>
      <c r="E36" s="160"/>
      <c r="F36" s="159"/>
      <c r="G36" s="159"/>
      <c r="H36" s="159"/>
    </row>
    <row r="37" spans="3:10" s="138" customFormat="1">
      <c r="C37" s="159"/>
      <c r="D37" s="159"/>
      <c r="E37" s="160"/>
      <c r="F37" s="159"/>
      <c r="G37" s="159"/>
      <c r="H37" s="159"/>
    </row>
    <row r="38" spans="3:10" s="138" customFormat="1">
      <c r="C38" s="159"/>
      <c r="D38" s="159"/>
      <c r="E38" s="160"/>
      <c r="F38" s="159"/>
      <c r="G38" s="159"/>
      <c r="H38" s="159"/>
    </row>
    <row r="39" spans="3:10" s="138" customFormat="1">
      <c r="C39" s="159"/>
      <c r="D39" s="159"/>
      <c r="E39" s="160"/>
      <c r="F39" s="159"/>
      <c r="G39" s="159"/>
      <c r="H39" s="159"/>
    </row>
    <row r="40" spans="3:10" s="138" customFormat="1">
      <c r="C40" s="159"/>
      <c r="D40" s="159"/>
      <c r="E40" s="160"/>
      <c r="F40" s="159"/>
      <c r="G40" s="159"/>
      <c r="H40" s="159"/>
    </row>
    <row r="41" spans="3:10" s="138" customFormat="1">
      <c r="C41" s="159"/>
      <c r="D41" s="159"/>
      <c r="E41" s="160"/>
      <c r="F41" s="159"/>
      <c r="G41" s="159"/>
      <c r="H41" s="159"/>
    </row>
    <row r="42" spans="3:10" s="138" customFormat="1">
      <c r="C42" s="159"/>
      <c r="D42" s="159"/>
      <c r="E42" s="160"/>
      <c r="F42" s="159"/>
      <c r="G42" s="159"/>
      <c r="H42" s="159"/>
    </row>
    <row r="43" spans="3:10" s="138" customFormat="1">
      <c r="C43" s="159"/>
      <c r="D43" s="159"/>
      <c r="E43" s="159"/>
      <c r="F43" s="159"/>
      <c r="G43" s="159"/>
      <c r="H43" s="159"/>
    </row>
    <row r="44" spans="3:10" s="138" customFormat="1">
      <c r="I44" s="139"/>
      <c r="J44" s="139"/>
    </row>
    <row r="45" spans="3:10" s="138" customFormat="1">
      <c r="D45" s="139"/>
      <c r="E45" s="139"/>
      <c r="F45" s="139"/>
      <c r="I45" s="139"/>
      <c r="J45" s="139"/>
    </row>
    <row r="46" spans="3:10" s="57" customFormat="1">
      <c r="D46" s="57">
        <v>0</v>
      </c>
      <c r="E46" s="57" t="s">
        <v>136</v>
      </c>
    </row>
    <row r="47" spans="3:10" s="57" customFormat="1">
      <c r="D47" s="57">
        <v>2</v>
      </c>
      <c r="E47" s="57" t="s">
        <v>137</v>
      </c>
      <c r="I47" s="58">
        <f t="shared" ref="I47:I55" si="0">D46</f>
        <v>0</v>
      </c>
      <c r="J47" s="57" t="s">
        <v>138</v>
      </c>
    </row>
    <row r="48" spans="3:10" s="57" customFormat="1" ht="242.25">
      <c r="D48" s="57">
        <v>8</v>
      </c>
      <c r="E48" s="57" t="s">
        <v>139</v>
      </c>
      <c r="I48" s="58">
        <f t="shared" si="0"/>
        <v>2</v>
      </c>
      <c r="J48" s="59" t="s">
        <v>140</v>
      </c>
    </row>
    <row r="49" spans="4:10" s="57" customFormat="1" ht="216.75">
      <c r="D49" s="57">
        <v>12</v>
      </c>
      <c r="E49" s="57" t="s">
        <v>141</v>
      </c>
      <c r="I49" s="58">
        <f t="shared" si="0"/>
        <v>8</v>
      </c>
      <c r="J49" s="59" t="s">
        <v>142</v>
      </c>
    </row>
    <row r="50" spans="4:10" s="57" customFormat="1" ht="216.75">
      <c r="D50" s="57">
        <v>18</v>
      </c>
      <c r="E50" s="57" t="s">
        <v>143</v>
      </c>
      <c r="I50" s="58">
        <f t="shared" si="0"/>
        <v>12</v>
      </c>
      <c r="J50" s="59" t="s">
        <v>144</v>
      </c>
    </row>
    <row r="51" spans="4:10" s="57" customFormat="1" ht="267.75">
      <c r="D51" s="57">
        <v>25</v>
      </c>
      <c r="E51" s="57" t="s">
        <v>145</v>
      </c>
      <c r="I51" s="58">
        <f t="shared" si="0"/>
        <v>18</v>
      </c>
      <c r="J51" s="59" t="s">
        <v>146</v>
      </c>
    </row>
    <row r="52" spans="4:10" s="57" customFormat="1" ht="267.75">
      <c r="D52" s="57">
        <v>33</v>
      </c>
      <c r="E52" s="57" t="s">
        <v>147</v>
      </c>
      <c r="I52" s="58">
        <f t="shared" si="0"/>
        <v>25</v>
      </c>
      <c r="J52" s="59" t="s">
        <v>148</v>
      </c>
    </row>
    <row r="53" spans="4:10" s="57" customFormat="1" ht="267.75">
      <c r="D53" s="57">
        <v>60</v>
      </c>
      <c r="E53" s="57" t="s">
        <v>149</v>
      </c>
      <c r="I53" s="58">
        <f t="shared" si="0"/>
        <v>33</v>
      </c>
      <c r="J53" s="59" t="s">
        <v>150</v>
      </c>
    </row>
    <row r="54" spans="4:10" s="57" customFormat="1" ht="267.75">
      <c r="D54" s="57">
        <v>80</v>
      </c>
      <c r="E54" s="57" t="s">
        <v>151</v>
      </c>
      <c r="I54" s="58">
        <f t="shared" si="0"/>
        <v>60</v>
      </c>
      <c r="J54" s="59" t="s">
        <v>152</v>
      </c>
    </row>
    <row r="55" spans="4:10" s="57" customFormat="1" ht="267.75">
      <c r="D55" s="57">
        <v>100</v>
      </c>
      <c r="E55" s="57" t="s">
        <v>153</v>
      </c>
      <c r="I55" s="58">
        <f t="shared" si="0"/>
        <v>80</v>
      </c>
      <c r="J55" s="59" t="s">
        <v>154</v>
      </c>
    </row>
    <row r="56" spans="4:10" s="57" customFormat="1" ht="267.75">
      <c r="D56" s="57">
        <v>200</v>
      </c>
      <c r="E56" s="57" t="s">
        <v>155</v>
      </c>
      <c r="I56" s="58">
        <f t="shared" ref="I56:I63" si="1">D55</f>
        <v>100</v>
      </c>
      <c r="J56" s="59" t="s">
        <v>156</v>
      </c>
    </row>
    <row r="57" spans="4:10" s="57" customFormat="1" ht="267.75">
      <c r="D57" s="57">
        <v>300</v>
      </c>
      <c r="E57" s="57" t="s">
        <v>157</v>
      </c>
      <c r="I57" s="58">
        <f t="shared" si="1"/>
        <v>200</v>
      </c>
      <c r="J57" s="59" t="s">
        <v>158</v>
      </c>
    </row>
    <row r="58" spans="4:10" s="57" customFormat="1" ht="267.75">
      <c r="D58" s="57">
        <v>400</v>
      </c>
      <c r="E58" s="57" t="s">
        <v>159</v>
      </c>
      <c r="I58" s="58">
        <f t="shared" si="1"/>
        <v>300</v>
      </c>
      <c r="J58" s="59" t="s">
        <v>160</v>
      </c>
    </row>
    <row r="59" spans="4:10" s="57" customFormat="1" ht="267.75">
      <c r="D59" s="57">
        <v>500</v>
      </c>
      <c r="E59" s="57" t="s">
        <v>161</v>
      </c>
      <c r="I59" s="58">
        <f t="shared" si="1"/>
        <v>400</v>
      </c>
      <c r="J59" s="59" t="s">
        <v>162</v>
      </c>
    </row>
    <row r="60" spans="4:10" s="57" customFormat="1" ht="267.75">
      <c r="D60" s="57">
        <v>600</v>
      </c>
      <c r="E60" s="57" t="s">
        <v>163</v>
      </c>
      <c r="I60" s="58">
        <f t="shared" si="1"/>
        <v>500</v>
      </c>
      <c r="J60" s="59" t="s">
        <v>164</v>
      </c>
    </row>
    <row r="61" spans="4:10" s="57" customFormat="1" ht="267.75">
      <c r="D61" s="57">
        <v>800</v>
      </c>
      <c r="E61" s="57" t="s">
        <v>165</v>
      </c>
      <c r="I61" s="58">
        <f t="shared" si="1"/>
        <v>600</v>
      </c>
      <c r="J61" s="59" t="s">
        <v>166</v>
      </c>
    </row>
    <row r="62" spans="4:10" s="57" customFormat="1" ht="267.75">
      <c r="D62" s="57">
        <v>1000</v>
      </c>
      <c r="E62" s="57" t="s">
        <v>76</v>
      </c>
      <c r="I62" s="58">
        <f t="shared" si="1"/>
        <v>800</v>
      </c>
      <c r="J62" s="59" t="s">
        <v>167</v>
      </c>
    </row>
    <row r="63" spans="4:10">
      <c r="D63" s="112"/>
      <c r="E63" s="112"/>
      <c r="F63" s="112"/>
      <c r="G63" s="112"/>
      <c r="H63" s="112"/>
      <c r="I63" s="58">
        <f t="shared" si="1"/>
        <v>1000</v>
      </c>
      <c r="J63" s="57"/>
    </row>
    <row r="64" spans="4:10">
      <c r="D64" s="112"/>
      <c r="E64" s="112"/>
      <c r="F64" s="112"/>
      <c r="G64" s="112"/>
      <c r="H64" s="112"/>
      <c r="I64" s="57"/>
      <c r="J64" s="57"/>
    </row>
    <row r="65" spans="9:10">
      <c r="I65" s="139"/>
      <c r="J65" s="139"/>
    </row>
  </sheetData>
  <sheetProtection sheet="1" objects="1" scenarios="1"/>
  <sortState xmlns:xlrd2="http://schemas.microsoft.com/office/spreadsheetml/2017/richdata2" ref="I22:J27">
    <sortCondition ref="I22:I27"/>
  </sortState>
  <dataValidations count="1">
    <dataValidation type="list" allowBlank="1" showInputMessage="1" showErrorMessage="1" sqref="E7" xr:uid="{00000000-0002-0000-0300-000000000000}">
      <formula1>$P$7:$P$11</formula1>
    </dataValidation>
  </dataValidations>
  <pageMargins left="0.7" right="0.7" top="0.78740157499999996" bottom="0.78740157499999996"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9"/>
  <dimension ref="B1:O34"/>
  <sheetViews>
    <sheetView workbookViewId="0">
      <selection activeCell="J23" sqref="J23"/>
    </sheetView>
  </sheetViews>
  <sheetFormatPr baseColWidth="10" defaultColWidth="11.42578125" defaultRowHeight="12.75"/>
  <cols>
    <col min="1" max="1" width="3.5703125" style="128" customWidth="1"/>
    <col min="2" max="2" width="30.85546875" style="128" bestFit="1" customWidth="1"/>
    <col min="3" max="3" width="19.7109375" style="128" customWidth="1"/>
    <col min="4" max="4" width="15" style="128" customWidth="1"/>
    <col min="5" max="5" width="20.140625" style="128" customWidth="1"/>
    <col min="6" max="7" width="11.42578125" style="128"/>
    <col min="8" max="8" width="13.7109375" style="128" customWidth="1"/>
    <col min="9" max="9" width="15.85546875" style="128" customWidth="1"/>
    <col min="10" max="12" width="11.42578125" style="88" customWidth="1"/>
    <col min="13" max="13" width="11.42578125" style="128" customWidth="1"/>
    <col min="14" max="15" width="11.42578125" style="88"/>
    <col min="16" max="16384" width="11.42578125" style="128"/>
  </cols>
  <sheetData>
    <row r="1" spans="2:15">
      <c r="B1" s="201"/>
    </row>
    <row r="2" spans="2:15" ht="77.25" customHeight="1">
      <c r="B2" s="136" t="s">
        <v>168</v>
      </c>
      <c r="C2" s="114"/>
      <c r="D2" s="114"/>
      <c r="E2" s="114"/>
      <c r="J2" s="88" t="s">
        <v>169</v>
      </c>
      <c r="K2" s="134" t="s">
        <v>170</v>
      </c>
      <c r="L2" s="88" t="s">
        <v>171</v>
      </c>
    </row>
    <row r="3" spans="2:15">
      <c r="B3" s="114" t="s">
        <v>172</v>
      </c>
      <c r="C3" s="114"/>
      <c r="D3" s="146">
        <v>4</v>
      </c>
      <c r="E3" s="114" t="s">
        <v>173</v>
      </c>
      <c r="G3" s="135" t="s">
        <v>174</v>
      </c>
      <c r="H3" s="63" t="s">
        <v>175</v>
      </c>
      <c r="I3" s="63" t="s">
        <v>176</v>
      </c>
      <c r="J3" s="88">
        <v>0</v>
      </c>
      <c r="K3" s="88">
        <v>0.35</v>
      </c>
    </row>
    <row r="4" spans="2:15">
      <c r="B4" s="63" t="s">
        <v>177</v>
      </c>
      <c r="C4" s="114"/>
      <c r="D4" s="147" t="s">
        <v>178</v>
      </c>
      <c r="E4" s="114"/>
      <c r="G4" s="63" t="s">
        <v>178</v>
      </c>
      <c r="H4" s="114">
        <v>1.7</v>
      </c>
      <c r="I4" s="114">
        <v>10</v>
      </c>
      <c r="J4" s="88">
        <v>10</v>
      </c>
      <c r="K4" s="88">
        <v>0.66</v>
      </c>
    </row>
    <row r="5" spans="2:15">
      <c r="B5" s="114" t="s">
        <v>179</v>
      </c>
      <c r="C5" s="114"/>
      <c r="D5" s="114">
        <f>VLOOKUP(D4,G4:H11,2)</f>
        <v>1.7</v>
      </c>
      <c r="E5" s="114" t="s">
        <v>23</v>
      </c>
      <c r="G5" s="63" t="s">
        <v>180</v>
      </c>
      <c r="H5" s="114">
        <v>1.2</v>
      </c>
      <c r="I5" s="114">
        <v>10</v>
      </c>
      <c r="J5" s="88">
        <v>20</v>
      </c>
      <c r="K5" s="88">
        <v>1.04</v>
      </c>
      <c r="N5" s="88" t="s">
        <v>181</v>
      </c>
    </row>
    <row r="6" spans="2:15">
      <c r="B6" s="114" t="s">
        <v>182</v>
      </c>
      <c r="C6" s="114" t="s">
        <v>183</v>
      </c>
      <c r="D6" s="114">
        <f>D3*D5</f>
        <v>6.8</v>
      </c>
      <c r="E6" s="114" t="s">
        <v>23</v>
      </c>
      <c r="G6" s="63" t="s">
        <v>184</v>
      </c>
      <c r="H6" s="114">
        <v>1.1000000000000001</v>
      </c>
      <c r="I6" s="114">
        <v>10</v>
      </c>
      <c r="J6" s="88">
        <v>30</v>
      </c>
      <c r="K6" s="88">
        <v>1.49</v>
      </c>
      <c r="O6" s="88" t="s">
        <v>185</v>
      </c>
    </row>
    <row r="7" spans="2:15">
      <c r="B7" s="114"/>
      <c r="C7" s="114"/>
      <c r="D7" s="114"/>
      <c r="E7" s="114"/>
      <c r="G7" s="63" t="s">
        <v>184</v>
      </c>
      <c r="H7" s="114">
        <v>1.5</v>
      </c>
      <c r="I7" s="114">
        <v>10</v>
      </c>
      <c r="J7" s="88">
        <v>40</v>
      </c>
      <c r="K7" s="88">
        <v>1.99</v>
      </c>
      <c r="N7" s="88">
        <v>12</v>
      </c>
      <c r="O7" s="88" t="s">
        <v>186</v>
      </c>
    </row>
    <row r="8" spans="2:15">
      <c r="B8" s="114" t="s">
        <v>187</v>
      </c>
      <c r="C8" s="114"/>
      <c r="D8" s="148">
        <v>22</v>
      </c>
      <c r="E8" s="114" t="s">
        <v>23</v>
      </c>
      <c r="G8" s="63" t="s">
        <v>188</v>
      </c>
      <c r="H8" s="114">
        <v>2.9</v>
      </c>
      <c r="I8" s="114">
        <v>10</v>
      </c>
      <c r="J8" s="88">
        <v>50</v>
      </c>
      <c r="K8" s="88">
        <v>2.5299999999999998</v>
      </c>
      <c r="L8" s="88">
        <v>-0.9</v>
      </c>
      <c r="N8" s="88">
        <v>25</v>
      </c>
      <c r="O8" s="88" t="s">
        <v>189</v>
      </c>
    </row>
    <row r="9" spans="2:15">
      <c r="B9" s="114" t="s">
        <v>190</v>
      </c>
      <c r="C9" s="114" t="s">
        <v>191</v>
      </c>
      <c r="D9" s="114">
        <f>D3*D5+D8</f>
        <v>28.8</v>
      </c>
      <c r="E9" s="114" t="s">
        <v>23</v>
      </c>
      <c r="G9" s="63" t="s">
        <v>192</v>
      </c>
      <c r="H9" s="114">
        <v>1.4</v>
      </c>
      <c r="I9" s="114">
        <v>8</v>
      </c>
      <c r="J9" s="88">
        <v>60</v>
      </c>
      <c r="K9" s="88">
        <v>3.11</v>
      </c>
      <c r="L9" s="88">
        <v>-0.8</v>
      </c>
      <c r="N9" s="88">
        <v>33</v>
      </c>
      <c r="O9" s="88" t="s">
        <v>193</v>
      </c>
    </row>
    <row r="10" spans="2:15">
      <c r="B10" s="114"/>
      <c r="C10" s="114"/>
      <c r="D10" s="114"/>
      <c r="E10" s="114"/>
      <c r="G10" s="63" t="s">
        <v>194</v>
      </c>
      <c r="H10" s="114">
        <v>2.9</v>
      </c>
      <c r="I10" s="114">
        <v>10</v>
      </c>
      <c r="J10" s="88">
        <v>70</v>
      </c>
      <c r="K10" s="88">
        <v>3.71</v>
      </c>
      <c r="L10" s="88">
        <v>-0.7</v>
      </c>
      <c r="N10" s="88">
        <v>50</v>
      </c>
      <c r="O10" s="88" t="s">
        <v>195</v>
      </c>
    </row>
    <row r="11" spans="2:15">
      <c r="B11" s="114" t="s">
        <v>196</v>
      </c>
      <c r="C11" s="114" t="s">
        <v>197</v>
      </c>
      <c r="D11" s="146">
        <v>140</v>
      </c>
      <c r="E11" s="114" t="s">
        <v>198</v>
      </c>
      <c r="G11" s="63" t="s">
        <v>199</v>
      </c>
      <c r="H11" s="114">
        <v>2.1</v>
      </c>
      <c r="I11" s="114">
        <v>5</v>
      </c>
      <c r="J11" s="88">
        <v>80</v>
      </c>
      <c r="K11" s="88">
        <v>4.3499999999999996</v>
      </c>
      <c r="L11" s="88">
        <v>-0.6</v>
      </c>
      <c r="N11" s="88">
        <v>80</v>
      </c>
      <c r="O11" s="88" t="s">
        <v>200</v>
      </c>
    </row>
    <row r="12" spans="2:15">
      <c r="B12" s="114" t="s">
        <v>201</v>
      </c>
      <c r="C12" s="114" t="s">
        <v>202</v>
      </c>
      <c r="D12" s="146">
        <v>-20</v>
      </c>
      <c r="E12" s="114" t="s">
        <v>198</v>
      </c>
      <c r="J12" s="88">
        <v>90</v>
      </c>
      <c r="K12" s="88">
        <v>5.01</v>
      </c>
      <c r="L12" s="88">
        <v>-0.4</v>
      </c>
      <c r="N12" s="88">
        <v>100</v>
      </c>
      <c r="O12" s="88" t="s">
        <v>203</v>
      </c>
    </row>
    <row r="13" spans="2:15">
      <c r="B13" s="114" t="s">
        <v>204</v>
      </c>
      <c r="C13" s="114"/>
      <c r="D13" s="149">
        <v>0.4</v>
      </c>
      <c r="E13" s="114"/>
      <c r="J13" s="88">
        <v>100</v>
      </c>
      <c r="K13" s="88">
        <v>5.68</v>
      </c>
      <c r="L13" s="88">
        <v>-0.1</v>
      </c>
      <c r="N13" s="88">
        <v>140</v>
      </c>
      <c r="O13" s="88" t="s">
        <v>205</v>
      </c>
    </row>
    <row r="14" spans="2:15">
      <c r="B14" s="114"/>
      <c r="C14" s="114"/>
      <c r="D14" s="114"/>
      <c r="E14" s="114"/>
      <c r="J14" s="88">
        <v>110</v>
      </c>
      <c r="K14" s="88">
        <v>6.39</v>
      </c>
      <c r="L14" s="88">
        <v>0.23</v>
      </c>
      <c r="N14" s="88">
        <v>200</v>
      </c>
      <c r="O14" s="88" t="s">
        <v>206</v>
      </c>
    </row>
    <row r="15" spans="2:15">
      <c r="B15" s="114" t="s">
        <v>207</v>
      </c>
      <c r="C15" s="114" t="s">
        <v>208</v>
      </c>
      <c r="D15" s="146">
        <v>0.3</v>
      </c>
      <c r="E15" s="114" t="s">
        <v>209</v>
      </c>
      <c r="F15" s="64"/>
      <c r="G15" s="64"/>
      <c r="H15" s="64"/>
      <c r="J15" s="88">
        <v>120</v>
      </c>
      <c r="K15" s="88">
        <v>7.11</v>
      </c>
      <c r="L15" s="88">
        <v>0.7</v>
      </c>
      <c r="N15" s="88">
        <v>250</v>
      </c>
      <c r="O15" s="88" t="s">
        <v>210</v>
      </c>
    </row>
    <row r="16" spans="2:15">
      <c r="B16" s="114" t="s">
        <v>211</v>
      </c>
      <c r="C16" s="114" t="s">
        <v>212</v>
      </c>
      <c r="D16" s="146"/>
      <c r="E16" s="114" t="s">
        <v>209</v>
      </c>
      <c r="J16" s="88">
        <v>130</v>
      </c>
      <c r="K16" s="88">
        <v>7.85</v>
      </c>
      <c r="L16" s="88">
        <v>1.33</v>
      </c>
      <c r="N16" s="88">
        <v>300</v>
      </c>
      <c r="O16" s="88" t="s">
        <v>213</v>
      </c>
    </row>
    <row r="17" spans="2:15">
      <c r="B17" s="114"/>
      <c r="C17" s="114"/>
      <c r="D17" s="114"/>
      <c r="E17" s="114"/>
      <c r="J17" s="88">
        <v>140</v>
      </c>
      <c r="K17" s="88">
        <v>8.6199999999999992</v>
      </c>
      <c r="L17" s="88">
        <v>2.13</v>
      </c>
      <c r="N17" s="88">
        <v>400</v>
      </c>
      <c r="O17" s="88" t="s">
        <v>214</v>
      </c>
    </row>
    <row r="18" spans="2:15">
      <c r="B18" s="114" t="s">
        <v>215</v>
      </c>
      <c r="C18" s="114" t="s">
        <v>216</v>
      </c>
      <c r="D18" s="114">
        <f>D15+D16+Pd</f>
        <v>2.4299999999999997</v>
      </c>
      <c r="E18" s="114" t="s">
        <v>209</v>
      </c>
      <c r="J18" s="88">
        <v>150</v>
      </c>
      <c r="K18" s="88">
        <v>9.41</v>
      </c>
      <c r="L18" s="88">
        <v>3.15</v>
      </c>
      <c r="N18" s="88">
        <v>500</v>
      </c>
      <c r="O18" s="88" t="s">
        <v>217</v>
      </c>
    </row>
    <row r="19" spans="2:15">
      <c r="B19" s="114" t="s">
        <v>40</v>
      </c>
      <c r="C19" s="114" t="s">
        <v>218</v>
      </c>
      <c r="D19" s="146">
        <v>6</v>
      </c>
      <c r="E19" s="114" t="s">
        <v>209</v>
      </c>
      <c r="J19" s="88">
        <v>160</v>
      </c>
      <c r="K19" s="88">
        <v>10.199999999999999</v>
      </c>
      <c r="L19" s="88">
        <v>4.41</v>
      </c>
      <c r="N19" s="88">
        <v>600</v>
      </c>
      <c r="O19" s="88" t="s">
        <v>219</v>
      </c>
    </row>
    <row r="20" spans="2:15">
      <c r="B20" s="63" t="s">
        <v>220</v>
      </c>
      <c r="C20" s="114" t="s">
        <v>221</v>
      </c>
      <c r="D20" s="114">
        <f>D19-0.1*D19</f>
        <v>5.4</v>
      </c>
      <c r="E20" s="114"/>
    </row>
    <row r="21" spans="2:15">
      <c r="B21" s="114"/>
      <c r="C21" s="114"/>
      <c r="D21" s="114"/>
      <c r="E21" s="114"/>
      <c r="K21" s="88">
        <f>VLOOKUP($D$11,$J$3:$L$19,2)</f>
        <v>8.6199999999999992</v>
      </c>
      <c r="L21" s="88">
        <f>VLOOKUP($D$11,$J$3:$L$19,3)</f>
        <v>2.13</v>
      </c>
    </row>
    <row r="22" spans="2:15">
      <c r="B22" s="114"/>
      <c r="C22" s="114"/>
      <c r="D22" s="114"/>
      <c r="E22" s="114"/>
    </row>
    <row r="23" spans="2:15">
      <c r="B23" s="114" t="s">
        <v>222</v>
      </c>
      <c r="C23" s="131">
        <v>5.0000000000000001E-3</v>
      </c>
      <c r="D23" s="114">
        <f>MAXA(D9*C23,3)</f>
        <v>3</v>
      </c>
      <c r="E23" s="114" t="s">
        <v>23</v>
      </c>
    </row>
    <row r="24" spans="2:15">
      <c r="B24" s="114"/>
      <c r="C24" s="114"/>
      <c r="D24" s="114"/>
      <c r="E24" s="114"/>
    </row>
    <row r="25" spans="2:15">
      <c r="B25" s="114" t="s">
        <v>223</v>
      </c>
      <c r="C25" s="114" t="s">
        <v>224</v>
      </c>
      <c r="D25" s="130">
        <f>D9*K21/100</f>
        <v>2.4825599999999999</v>
      </c>
      <c r="E25" s="114"/>
    </row>
    <row r="26" spans="2:15">
      <c r="B26" s="63" t="s">
        <v>225</v>
      </c>
      <c r="C26" s="135" t="s">
        <v>226</v>
      </c>
      <c r="D26" s="133">
        <f>(D9*K21/100+D23+(D3*D5))*((D20+1)/(D20-D18))</f>
        <v>26.467469360269355</v>
      </c>
      <c r="E26" s="63" t="s">
        <v>23</v>
      </c>
    </row>
    <row r="27" spans="2:15" ht="41.25" customHeight="1">
      <c r="B27" s="135"/>
      <c r="C27" s="135"/>
      <c r="D27" s="132"/>
      <c r="E27" s="63"/>
    </row>
    <row r="28" spans="2:15">
      <c r="B28" s="77" t="s">
        <v>227</v>
      </c>
      <c r="C28" s="114"/>
      <c r="D28" s="222" t="str">
        <f>VLOOKUP(Vn,N6:O19,2)</f>
        <v>S 33 Reflex 10 bar trykktank for solvarmeanlegg</v>
      </c>
      <c r="E28" s="223"/>
    </row>
    <row r="29" spans="2:15">
      <c r="B29" s="114" t="s">
        <v>228</v>
      </c>
      <c r="C29" s="114"/>
      <c r="D29" s="132">
        <f>(D20+1)/(1+(D25+D3*D5*(D20+1))/(D26*(D18+1)))</f>
        <v>4.2476128605949333</v>
      </c>
      <c r="E29" s="114" t="s">
        <v>209</v>
      </c>
    </row>
    <row r="31" spans="2:15">
      <c r="B31" s="129"/>
      <c r="C31" s="88" t="s">
        <v>229</v>
      </c>
      <c r="D31" s="88">
        <f>Pe+1</f>
        <v>6.4</v>
      </c>
    </row>
    <row r="32" spans="2:15">
      <c r="B32" s="129"/>
      <c r="C32" s="88" t="s">
        <v>230</v>
      </c>
      <c r="D32" s="88">
        <f>(Ve)*(Pe+1)*(n/100)</f>
        <v>1.3695787008</v>
      </c>
    </row>
    <row r="33" spans="2:4">
      <c r="B33" s="129"/>
      <c r="C33" s="88" t="s">
        <v>231</v>
      </c>
      <c r="D33" s="88">
        <f>Vn*(P0+1)*(n/100)</f>
        <v>7.8255307958733979</v>
      </c>
    </row>
    <row r="34" spans="2:4">
      <c r="B34" s="129"/>
      <c r="C34" s="88"/>
      <c r="D34" s="88">
        <f>D31/(1+(D32/D33))</f>
        <v>5.4467428704039795</v>
      </c>
    </row>
  </sheetData>
  <sheetProtection sheet="1" objects="1" scenarios="1"/>
  <sortState xmlns:xlrd2="http://schemas.microsoft.com/office/spreadsheetml/2017/richdata2" ref="G4:I11">
    <sortCondition ref="G4:G11"/>
  </sortState>
  <mergeCells count="1">
    <mergeCell ref="D28:E28"/>
  </mergeCells>
  <dataValidations count="1">
    <dataValidation type="list" allowBlank="1" showInputMessage="1" showErrorMessage="1" sqref="D4" xr:uid="{00000000-0002-0000-0400-000000000000}">
      <formula1>$G$4:$G$11</formula1>
    </dataValidation>
  </dataValidations>
  <pageMargins left="0.7" right="0.7" top="0.78740157499999996" bottom="0.78740157499999996"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10"/>
  <dimension ref="B1:P59"/>
  <sheetViews>
    <sheetView workbookViewId="0">
      <selection activeCell="E20" sqref="E20"/>
    </sheetView>
  </sheetViews>
  <sheetFormatPr baseColWidth="10" defaultColWidth="11.42578125" defaultRowHeight="12.75"/>
  <cols>
    <col min="1" max="1" width="3.28515625" style="64" customWidth="1"/>
    <col min="2" max="2" width="9.28515625" style="64" customWidth="1"/>
    <col min="3" max="3" width="2.7109375" style="64" customWidth="1"/>
    <col min="4" max="4" width="36.85546875" style="64" customWidth="1"/>
    <col min="5" max="5" width="19.42578125" style="64" customWidth="1"/>
    <col min="6" max="6" width="64" style="64" customWidth="1"/>
    <col min="7" max="7" width="18.7109375" style="64" customWidth="1"/>
    <col min="8" max="9" width="11.42578125" style="64"/>
    <col min="10" max="10" width="28.85546875" style="88" bestFit="1" customWidth="1"/>
    <col min="11" max="14" width="11.42578125" style="88"/>
    <col min="15" max="16384" width="11.42578125" style="64"/>
  </cols>
  <sheetData>
    <row r="1" spans="2:16">
      <c r="B1" s="63"/>
      <c r="C1" s="63"/>
      <c r="D1" s="63"/>
      <c r="E1" s="63"/>
      <c r="F1" s="63"/>
      <c r="G1" s="63"/>
      <c r="H1" s="63"/>
      <c r="J1" s="64" t="s">
        <v>232</v>
      </c>
      <c r="K1" s="64" t="s">
        <v>37</v>
      </c>
      <c r="L1" s="64"/>
      <c r="M1" s="64"/>
      <c r="N1" s="64"/>
    </row>
    <row r="2" spans="2:16" ht="18">
      <c r="B2" s="63"/>
      <c r="C2" s="65" t="s">
        <v>233</v>
      </c>
      <c r="D2" s="63"/>
      <c r="E2" s="63"/>
      <c r="F2" s="63"/>
      <c r="G2" s="63"/>
      <c r="H2" s="63"/>
      <c r="J2" s="64" t="s">
        <v>234</v>
      </c>
      <c r="K2" s="64" t="s">
        <v>235</v>
      </c>
      <c r="L2" s="64"/>
      <c r="M2" s="64"/>
      <c r="N2" s="64"/>
    </row>
    <row r="3" spans="2:16">
      <c r="B3" s="63"/>
      <c r="C3" s="63"/>
      <c r="D3" s="63"/>
      <c r="E3" s="63"/>
      <c r="F3" s="63"/>
      <c r="G3" s="63"/>
      <c r="H3" s="63"/>
      <c r="J3" s="64"/>
      <c r="K3" s="64"/>
      <c r="L3" s="64"/>
      <c r="M3" s="64"/>
      <c r="N3" s="64"/>
    </row>
    <row r="4" spans="2:16">
      <c r="B4" s="63"/>
      <c r="C4" s="63"/>
      <c r="D4" s="63"/>
      <c r="E4" s="66"/>
      <c r="F4" s="63"/>
      <c r="G4" s="63"/>
      <c r="H4" s="63"/>
      <c r="J4" s="64" t="s">
        <v>236</v>
      </c>
      <c r="K4" s="64"/>
      <c r="L4" s="64"/>
      <c r="M4" s="64" t="s">
        <v>237</v>
      </c>
      <c r="N4" s="64"/>
    </row>
    <row r="5" spans="2:16">
      <c r="B5" s="63"/>
      <c r="C5" s="63"/>
      <c r="D5" s="63"/>
      <c r="E5" s="66"/>
      <c r="F5" s="63"/>
      <c r="G5" s="63"/>
      <c r="H5" s="63"/>
      <c r="J5" s="64" t="s">
        <v>238</v>
      </c>
      <c r="K5" s="64" t="s">
        <v>239</v>
      </c>
      <c r="L5" s="64"/>
      <c r="M5" s="64" t="s">
        <v>240</v>
      </c>
      <c r="N5" s="64" t="s">
        <v>239</v>
      </c>
    </row>
    <row r="6" spans="2:16">
      <c r="B6" s="63"/>
      <c r="C6" s="63"/>
      <c r="D6" s="63"/>
      <c r="E6" s="63"/>
      <c r="F6" s="63"/>
      <c r="G6" s="63"/>
      <c r="H6" s="63"/>
      <c r="J6" s="64">
        <v>1</v>
      </c>
      <c r="K6" s="64">
        <f t="shared" ref="K6:K15" si="0">J6-0.5</f>
        <v>0.5</v>
      </c>
      <c r="L6" s="64"/>
      <c r="M6" s="64">
        <v>1</v>
      </c>
      <c r="N6" s="64" t="s">
        <v>241</v>
      </c>
    </row>
    <row r="7" spans="2:16">
      <c r="B7" s="63"/>
      <c r="C7" s="63" t="s">
        <v>242</v>
      </c>
      <c r="D7" s="63"/>
      <c r="E7" s="150" t="s">
        <v>234</v>
      </c>
      <c r="F7" s="63"/>
      <c r="G7" s="63"/>
      <c r="H7" s="63"/>
      <c r="J7" s="64">
        <v>2</v>
      </c>
      <c r="K7" s="64">
        <f t="shared" si="0"/>
        <v>1.5</v>
      </c>
      <c r="L7" s="64"/>
      <c r="M7" s="64">
        <v>2</v>
      </c>
      <c r="N7" s="64">
        <f t="shared" ref="N7:N15" si="1">M7-0.5</f>
        <v>1.5</v>
      </c>
    </row>
    <row r="8" spans="2:16">
      <c r="B8" s="63"/>
      <c r="C8" s="63" t="str">
        <f>LOOKUP(E7,J1:K2)</f>
        <v>Starttrykk pumpen</v>
      </c>
      <c r="D8" s="63"/>
      <c r="E8" s="151">
        <v>5</v>
      </c>
      <c r="F8" s="63" t="s">
        <v>82</v>
      </c>
      <c r="G8" s="63"/>
      <c r="H8" s="63"/>
      <c r="J8" s="64">
        <v>3</v>
      </c>
      <c r="K8" s="64">
        <f t="shared" si="0"/>
        <v>2.5</v>
      </c>
      <c r="L8" s="64"/>
      <c r="M8" s="64">
        <v>3</v>
      </c>
      <c r="N8" s="64">
        <f t="shared" si="1"/>
        <v>2.5</v>
      </c>
    </row>
    <row r="9" spans="2:16">
      <c r="B9" s="63"/>
      <c r="C9" s="63" t="s">
        <v>243</v>
      </c>
      <c r="D9" s="63"/>
      <c r="E9" s="151">
        <v>8</v>
      </c>
      <c r="F9" s="63" t="s">
        <v>244</v>
      </c>
      <c r="G9" s="63"/>
      <c r="H9" s="63"/>
      <c r="J9" s="64">
        <v>4</v>
      </c>
      <c r="K9" s="64">
        <f t="shared" si="0"/>
        <v>3.5</v>
      </c>
      <c r="L9" s="64"/>
      <c r="M9" s="64">
        <v>4</v>
      </c>
      <c r="N9" s="64">
        <f t="shared" si="1"/>
        <v>3.5</v>
      </c>
    </row>
    <row r="10" spans="2:16">
      <c r="B10" s="63"/>
      <c r="C10" s="63" t="s">
        <v>245</v>
      </c>
      <c r="D10" s="63"/>
      <c r="E10" s="63">
        <f>IF(E7=J1,M16,J16)</f>
        <v>4.5</v>
      </c>
      <c r="F10" s="63" t="s">
        <v>82</v>
      </c>
      <c r="G10" s="63"/>
      <c r="H10" s="63"/>
      <c r="J10" s="64">
        <v>5</v>
      </c>
      <c r="K10" s="64">
        <f t="shared" si="0"/>
        <v>4.5</v>
      </c>
      <c r="L10" s="64"/>
      <c r="M10" s="64">
        <v>5</v>
      </c>
      <c r="N10" s="64">
        <f t="shared" si="1"/>
        <v>4.5</v>
      </c>
    </row>
    <row r="11" spans="2:16">
      <c r="B11" s="63"/>
      <c r="C11" s="63"/>
      <c r="D11" s="63"/>
      <c r="E11" s="63"/>
      <c r="F11" s="63"/>
      <c r="G11" s="63"/>
      <c r="H11" s="63"/>
      <c r="J11" s="64">
        <v>6</v>
      </c>
      <c r="K11" s="64">
        <f t="shared" si="0"/>
        <v>5.5</v>
      </c>
      <c r="L11" s="64"/>
      <c r="M11" s="64">
        <v>6</v>
      </c>
      <c r="N11" s="64">
        <f t="shared" si="1"/>
        <v>5.5</v>
      </c>
    </row>
    <row r="12" spans="2:16">
      <c r="B12" s="63"/>
      <c r="C12" s="63"/>
      <c r="D12" s="63"/>
      <c r="E12" s="63"/>
      <c r="F12" s="63"/>
      <c r="G12" s="63"/>
      <c r="H12" s="63"/>
      <c r="J12" s="64">
        <v>7</v>
      </c>
      <c r="K12" s="64">
        <f t="shared" si="0"/>
        <v>6.5</v>
      </c>
      <c r="L12" s="64"/>
      <c r="M12" s="64">
        <v>7</v>
      </c>
      <c r="N12" s="64">
        <f t="shared" si="1"/>
        <v>6.5</v>
      </c>
    </row>
    <row r="13" spans="2:16">
      <c r="B13" s="63"/>
      <c r="C13" s="63" t="s">
        <v>246</v>
      </c>
      <c r="D13" s="63"/>
      <c r="E13" s="150">
        <v>2500</v>
      </c>
      <c r="F13" s="63" t="s">
        <v>247</v>
      </c>
      <c r="G13" s="63"/>
      <c r="H13" s="63"/>
      <c r="J13" s="64">
        <v>8</v>
      </c>
      <c r="K13" s="64">
        <f t="shared" si="0"/>
        <v>7.5</v>
      </c>
      <c r="L13" s="64"/>
      <c r="M13" s="64">
        <v>8</v>
      </c>
      <c r="N13" s="64">
        <f t="shared" si="1"/>
        <v>7.5</v>
      </c>
    </row>
    <row r="14" spans="2:16">
      <c r="B14" s="63"/>
      <c r="C14" s="63" t="s">
        <v>248</v>
      </c>
      <c r="D14" s="63"/>
      <c r="E14" s="150">
        <v>4000</v>
      </c>
      <c r="F14" s="63" t="s">
        <v>247</v>
      </c>
      <c r="G14" s="63"/>
      <c r="H14" s="63"/>
      <c r="J14" s="64">
        <v>9</v>
      </c>
      <c r="K14" s="64">
        <f t="shared" si="0"/>
        <v>8.5</v>
      </c>
      <c r="L14" s="64"/>
      <c r="M14" s="64">
        <v>9</v>
      </c>
      <c r="N14" s="64">
        <f t="shared" si="1"/>
        <v>8.5</v>
      </c>
    </row>
    <row r="15" spans="2:16">
      <c r="B15" s="63"/>
      <c r="C15" s="63" t="s">
        <v>249</v>
      </c>
      <c r="D15" s="63"/>
      <c r="E15" s="150">
        <v>10</v>
      </c>
      <c r="F15" s="63"/>
      <c r="G15" s="63"/>
      <c r="H15" s="63"/>
      <c r="J15" s="64">
        <v>10</v>
      </c>
      <c r="K15" s="64">
        <f t="shared" si="0"/>
        <v>9.5</v>
      </c>
      <c r="L15" s="64"/>
      <c r="M15" s="64">
        <v>10</v>
      </c>
      <c r="N15" s="64">
        <f t="shared" si="1"/>
        <v>9.5</v>
      </c>
    </row>
    <row r="16" spans="2:16">
      <c r="B16" s="63"/>
      <c r="C16" s="63"/>
      <c r="D16" s="63"/>
      <c r="E16" s="66"/>
      <c r="F16" s="63"/>
      <c r="G16" s="63"/>
      <c r="H16" s="63"/>
      <c r="J16" s="64">
        <f>LOOKUP(E8,J6:K15)</f>
        <v>4.5</v>
      </c>
      <c r="K16" s="64"/>
      <c r="L16" s="64"/>
      <c r="M16" s="64">
        <f>LOOKUP(E8,M6:N15)</f>
        <v>4.5</v>
      </c>
      <c r="N16" s="64"/>
      <c r="P16" s="67"/>
    </row>
    <row r="17" spans="2:14">
      <c r="B17" s="63"/>
      <c r="C17" s="63"/>
      <c r="D17" s="63"/>
      <c r="E17" s="63"/>
      <c r="F17" s="63"/>
      <c r="G17" s="63"/>
      <c r="H17" s="63"/>
      <c r="I17" s="68"/>
      <c r="J17" s="68"/>
      <c r="K17" s="68"/>
      <c r="L17" s="68"/>
      <c r="M17" s="68"/>
      <c r="N17" s="64"/>
    </row>
    <row r="18" spans="2:14">
      <c r="B18" s="63"/>
      <c r="C18" s="196" t="s">
        <v>93</v>
      </c>
      <c r="D18" s="69"/>
      <c r="E18" s="69"/>
      <c r="F18" s="69"/>
      <c r="G18" s="70"/>
      <c r="H18" s="63"/>
      <c r="I18" s="71"/>
      <c r="J18" s="71"/>
      <c r="K18" s="71"/>
      <c r="L18" s="71"/>
      <c r="M18" s="71"/>
      <c r="N18" s="71"/>
    </row>
    <row r="19" spans="2:14">
      <c r="B19" s="63"/>
      <c r="C19" s="72"/>
      <c r="D19" s="63" t="s">
        <v>44</v>
      </c>
      <c r="E19" s="73">
        <f>IF(E7="Trykksiden av pumpen",((E8+E9+1)-(E10+0.5+1))/(E8+E9+1),((E8+1)-(E10+0.5+1))/(E8+1))</f>
        <v>0.5714285714285714</v>
      </c>
      <c r="F19" s="63"/>
      <c r="G19" s="74"/>
      <c r="H19" s="63"/>
      <c r="J19" s="64"/>
      <c r="K19" s="64"/>
      <c r="L19" s="64"/>
      <c r="M19" s="64"/>
      <c r="N19" s="64"/>
    </row>
    <row r="20" spans="2:14">
      <c r="B20" s="63"/>
      <c r="C20" s="72"/>
      <c r="D20" s="63" t="s">
        <v>45</v>
      </c>
      <c r="E20" s="75">
        <f>(MIN(E14,E13)/E15)/E19</f>
        <v>437.5</v>
      </c>
      <c r="F20" s="63"/>
      <c r="G20" s="74"/>
      <c r="H20" s="76"/>
      <c r="J20" s="64"/>
      <c r="K20" s="64"/>
      <c r="L20" s="64"/>
      <c r="M20" s="64"/>
      <c r="N20" s="64"/>
    </row>
    <row r="21" spans="2:14" ht="38.25">
      <c r="B21" s="63"/>
      <c r="C21" s="72"/>
      <c r="D21" s="77" t="s">
        <v>46</v>
      </c>
      <c r="E21" s="202" t="str">
        <f>LOOKUP(E20,D41:E57)</f>
        <v>DE 500</v>
      </c>
      <c r="F21" s="78" t="str">
        <f>LOOKUP(E20,F41:G57)</f>
        <v>Reflex membran trykktank med utskiftbar membran, type DE 500
Diameter: 740 mm Høyde: 1475 mm Vekt: 79 kg Trykklasse: PN 10 Anslutning: R 1 1/4'' Standard ladetrykk: 4 bar</v>
      </c>
      <c r="G21" s="79"/>
      <c r="H21" s="80"/>
      <c r="J21" s="64"/>
      <c r="K21" s="64"/>
      <c r="L21" s="64"/>
      <c r="M21" s="64"/>
      <c r="N21" s="64"/>
    </row>
    <row r="22" spans="2:14">
      <c r="B22" s="63"/>
      <c r="C22" s="81"/>
      <c r="D22" s="82"/>
      <c r="E22" s="83"/>
      <c r="F22" s="84"/>
      <c r="G22" s="85"/>
      <c r="H22" s="63"/>
      <c r="J22" s="64"/>
      <c r="K22" s="64"/>
      <c r="L22" s="64"/>
      <c r="M22" s="64"/>
      <c r="N22" s="64"/>
    </row>
    <row r="23" spans="2:14">
      <c r="B23" s="63"/>
      <c r="C23" s="63"/>
      <c r="D23" s="63"/>
      <c r="E23" s="63"/>
      <c r="F23" s="63"/>
      <c r="G23" s="63"/>
      <c r="H23" s="63"/>
      <c r="J23" s="64"/>
      <c r="K23" s="64"/>
      <c r="L23" s="64"/>
      <c r="M23" s="64"/>
      <c r="N23" s="64"/>
    </row>
    <row r="24" spans="2:14">
      <c r="B24" s="63"/>
      <c r="C24" s="63"/>
      <c r="D24" s="63"/>
      <c r="E24" s="63"/>
      <c r="F24" s="63"/>
      <c r="G24" s="63"/>
      <c r="H24" s="63"/>
      <c r="J24" s="64"/>
      <c r="K24" s="64"/>
      <c r="L24" s="64"/>
      <c r="M24" s="64"/>
      <c r="N24" s="64"/>
    </row>
    <row r="25" spans="2:14">
      <c r="E25" s="86"/>
      <c r="J25" s="64"/>
      <c r="K25" s="64"/>
      <c r="L25" s="64"/>
      <c r="M25" s="64"/>
      <c r="N25" s="64"/>
    </row>
    <row r="27" spans="2:14">
      <c r="E27" s="87"/>
    </row>
    <row r="37" spans="4:7">
      <c r="E37" s="86"/>
    </row>
    <row r="41" spans="4:7" s="88" customFormat="1">
      <c r="D41" s="88">
        <v>0</v>
      </c>
      <c r="E41" s="88" t="s">
        <v>136</v>
      </c>
      <c r="F41" s="89">
        <f t="shared" ref="F41:F57" si="2">D41</f>
        <v>0</v>
      </c>
      <c r="G41" s="88" t="s">
        <v>138</v>
      </c>
    </row>
    <row r="42" spans="4:7" s="88" customFormat="1" ht="127.5">
      <c r="D42" s="88">
        <v>2</v>
      </c>
      <c r="E42" s="88" t="s">
        <v>137</v>
      </c>
      <c r="F42" s="89">
        <f t="shared" si="2"/>
        <v>2</v>
      </c>
      <c r="G42" s="90" t="s">
        <v>140</v>
      </c>
    </row>
    <row r="43" spans="4:7" s="88" customFormat="1" ht="114.75">
      <c r="D43" s="88">
        <v>8</v>
      </c>
      <c r="E43" s="88" t="s">
        <v>139</v>
      </c>
      <c r="F43" s="89">
        <f t="shared" si="2"/>
        <v>8</v>
      </c>
      <c r="G43" s="90" t="s">
        <v>142</v>
      </c>
    </row>
    <row r="44" spans="4:7" s="88" customFormat="1" ht="114.75">
      <c r="D44" s="88">
        <v>12</v>
      </c>
      <c r="E44" s="88" t="s">
        <v>141</v>
      </c>
      <c r="F44" s="89">
        <f t="shared" si="2"/>
        <v>12</v>
      </c>
      <c r="G44" s="90" t="s">
        <v>144</v>
      </c>
    </row>
    <row r="45" spans="4:7" s="88" customFormat="1" ht="140.25">
      <c r="D45" s="88">
        <v>18</v>
      </c>
      <c r="E45" s="88" t="s">
        <v>143</v>
      </c>
      <c r="F45" s="89">
        <f t="shared" si="2"/>
        <v>18</v>
      </c>
      <c r="G45" s="90" t="s">
        <v>146</v>
      </c>
    </row>
    <row r="46" spans="4:7" s="88" customFormat="1" ht="140.25">
      <c r="D46" s="88">
        <v>25</v>
      </c>
      <c r="E46" s="88" t="s">
        <v>145</v>
      </c>
      <c r="F46" s="89">
        <f t="shared" si="2"/>
        <v>25</v>
      </c>
      <c r="G46" s="90" t="s">
        <v>148</v>
      </c>
    </row>
    <row r="47" spans="4:7" s="88" customFormat="1" ht="140.25">
      <c r="D47" s="88">
        <v>33</v>
      </c>
      <c r="E47" s="88" t="s">
        <v>147</v>
      </c>
      <c r="F47" s="89">
        <f t="shared" si="2"/>
        <v>33</v>
      </c>
      <c r="G47" s="90" t="s">
        <v>150</v>
      </c>
    </row>
    <row r="48" spans="4:7" s="88" customFormat="1" ht="140.25">
      <c r="D48" s="88">
        <v>60</v>
      </c>
      <c r="E48" s="88" t="s">
        <v>149</v>
      </c>
      <c r="F48" s="89">
        <f t="shared" si="2"/>
        <v>60</v>
      </c>
      <c r="G48" s="90" t="s">
        <v>152</v>
      </c>
    </row>
    <row r="49" spans="4:7" s="88" customFormat="1" ht="140.25">
      <c r="D49" s="88">
        <v>80</v>
      </c>
      <c r="E49" s="88" t="s">
        <v>151</v>
      </c>
      <c r="F49" s="89">
        <f t="shared" si="2"/>
        <v>80</v>
      </c>
      <c r="G49" s="90" t="s">
        <v>154</v>
      </c>
    </row>
    <row r="50" spans="4:7" s="88" customFormat="1" ht="140.25">
      <c r="D50" s="88">
        <v>100</v>
      </c>
      <c r="E50" s="88" t="s">
        <v>153</v>
      </c>
      <c r="F50" s="89">
        <f t="shared" si="2"/>
        <v>100</v>
      </c>
      <c r="G50" s="90" t="s">
        <v>156</v>
      </c>
    </row>
    <row r="51" spans="4:7" s="88" customFormat="1" ht="140.25">
      <c r="D51" s="88">
        <v>200</v>
      </c>
      <c r="E51" s="88" t="s">
        <v>155</v>
      </c>
      <c r="F51" s="89">
        <f t="shared" si="2"/>
        <v>200</v>
      </c>
      <c r="G51" s="90" t="s">
        <v>158</v>
      </c>
    </row>
    <row r="52" spans="4:7" s="88" customFormat="1" ht="140.25">
      <c r="D52" s="88">
        <v>300</v>
      </c>
      <c r="E52" s="88" t="s">
        <v>157</v>
      </c>
      <c r="F52" s="89">
        <f t="shared" si="2"/>
        <v>300</v>
      </c>
      <c r="G52" s="90" t="s">
        <v>160</v>
      </c>
    </row>
    <row r="53" spans="4:7" s="88" customFormat="1" ht="140.25">
      <c r="D53" s="88">
        <v>400</v>
      </c>
      <c r="E53" s="88" t="s">
        <v>159</v>
      </c>
      <c r="F53" s="89">
        <f t="shared" si="2"/>
        <v>400</v>
      </c>
      <c r="G53" s="90" t="s">
        <v>162</v>
      </c>
    </row>
    <row r="54" spans="4:7" s="88" customFormat="1" ht="140.25">
      <c r="D54" s="88">
        <v>500</v>
      </c>
      <c r="E54" s="88" t="s">
        <v>161</v>
      </c>
      <c r="F54" s="89">
        <f t="shared" si="2"/>
        <v>500</v>
      </c>
      <c r="G54" s="90" t="s">
        <v>164</v>
      </c>
    </row>
    <row r="55" spans="4:7" s="88" customFormat="1" ht="140.25">
      <c r="D55" s="88">
        <v>600</v>
      </c>
      <c r="E55" s="88" t="s">
        <v>163</v>
      </c>
      <c r="F55" s="89">
        <f t="shared" si="2"/>
        <v>600</v>
      </c>
      <c r="G55" s="90" t="s">
        <v>166</v>
      </c>
    </row>
    <row r="56" spans="4:7" s="88" customFormat="1" ht="140.25">
      <c r="D56" s="88">
        <v>800</v>
      </c>
      <c r="E56" s="88" t="s">
        <v>165</v>
      </c>
      <c r="F56" s="89">
        <f t="shared" si="2"/>
        <v>800</v>
      </c>
      <c r="G56" s="90" t="s">
        <v>167</v>
      </c>
    </row>
    <row r="57" spans="4:7" s="88" customFormat="1">
      <c r="D57" s="88">
        <v>1000</v>
      </c>
      <c r="E57" s="88" t="s">
        <v>76</v>
      </c>
      <c r="F57" s="89">
        <f t="shared" si="2"/>
        <v>1000</v>
      </c>
    </row>
    <row r="58" spans="4:7" s="88" customFormat="1"/>
    <row r="59" spans="4:7" s="88" customFormat="1"/>
  </sheetData>
  <sheetProtection sheet="1" objects="1" scenarios="1"/>
  <dataValidations count="3">
    <dataValidation type="list" allowBlank="1" showInputMessage="1" showErrorMessage="1" sqref="E8" xr:uid="{00000000-0002-0000-0500-000000000000}">
      <formula1>$J$6:$J$15</formula1>
    </dataValidation>
    <dataValidation type="list" allowBlank="1" showInputMessage="1" showErrorMessage="1" sqref="E7" xr:uid="{00000000-0002-0000-0500-000001000000}">
      <formula1>$J$1:$J$2</formula1>
    </dataValidation>
    <dataValidation type="list" allowBlank="1" showInputMessage="1" showErrorMessage="1" sqref="E25" xr:uid="{00000000-0002-0000-0500-000002000000}">
      <formula1>$O$7:$O$11</formula1>
    </dataValidation>
  </dataValidations>
  <pageMargins left="0.7" right="0.7" top="0.78740157499999996" bottom="0.78740157499999996"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2">
    <outlinePr summaryBelow="0"/>
  </sheetPr>
  <dimension ref="A2:R79"/>
  <sheetViews>
    <sheetView topLeftCell="A12" zoomScale="75" workbookViewId="0">
      <selection activeCell="B29" sqref="B29"/>
    </sheetView>
  </sheetViews>
  <sheetFormatPr baseColWidth="10" defaultColWidth="11.42578125" defaultRowHeight="12.75" outlineLevelRow="1"/>
  <cols>
    <col min="4" max="4" width="13.28515625" customWidth="1"/>
    <col min="8" max="8" width="15.42578125" customWidth="1"/>
    <col min="9" max="9" width="16" customWidth="1"/>
    <col min="10" max="18" width="11.42578125" customWidth="1"/>
  </cols>
  <sheetData>
    <row r="2" spans="1:15">
      <c r="A2" s="4" t="s">
        <v>250</v>
      </c>
      <c r="C2" t="s">
        <v>251</v>
      </c>
      <c r="D2" s="37">
        <f>G18</f>
        <v>5000</v>
      </c>
    </row>
    <row r="3" spans="1:15">
      <c r="C3" t="s">
        <v>252</v>
      </c>
      <c r="D3" s="37">
        <f>E53</f>
        <v>0</v>
      </c>
    </row>
    <row r="4" spans="1:15">
      <c r="C4" t="s">
        <v>253</v>
      </c>
      <c r="D4" s="37">
        <f>E68</f>
        <v>0</v>
      </c>
    </row>
    <row r="5" spans="1:15">
      <c r="C5" t="s">
        <v>254</v>
      </c>
      <c r="D5" s="37">
        <f>J73</f>
        <v>0</v>
      </c>
    </row>
    <row r="6" spans="1:15">
      <c r="C6" t="s">
        <v>255</v>
      </c>
      <c r="D6" s="203">
        <f>SUM(D2:D5)</f>
        <v>5000</v>
      </c>
      <c r="E6" t="s">
        <v>256</v>
      </c>
    </row>
    <row r="9" spans="1:15" ht="15.75">
      <c r="A9" s="11" t="s">
        <v>257</v>
      </c>
      <c r="B9" s="12"/>
      <c r="C9" s="12"/>
      <c r="D9" s="12"/>
      <c r="E9" s="12"/>
      <c r="F9" s="12"/>
      <c r="G9" s="12"/>
      <c r="H9" s="12"/>
      <c r="I9" s="12"/>
      <c r="J9" s="12"/>
      <c r="K9" s="12"/>
      <c r="L9" s="12"/>
      <c r="M9" s="12"/>
      <c r="N9" s="12"/>
      <c r="O9" s="12"/>
    </row>
    <row r="10" spans="1:15" outlineLevel="1"/>
    <row r="11" spans="1:15" outlineLevel="1">
      <c r="B11" t="s">
        <v>258</v>
      </c>
    </row>
    <row r="12" spans="1:15" outlineLevel="1">
      <c r="B12" t="s">
        <v>259</v>
      </c>
      <c r="G12" s="14">
        <f>Varme!E4</f>
        <v>5000</v>
      </c>
      <c r="H12" t="s">
        <v>23</v>
      </c>
    </row>
    <row r="13" spans="1:15" outlineLevel="1">
      <c r="B13" t="s">
        <v>260</v>
      </c>
      <c r="C13" t="s">
        <v>261</v>
      </c>
      <c r="G13" s="14">
        <f>SUM(C35:C38)</f>
        <v>0</v>
      </c>
      <c r="H13" t="s">
        <v>23</v>
      </c>
      <c r="J13" t="s">
        <v>262</v>
      </c>
      <c r="M13">
        <f>G18+G20</f>
        <v>5000</v>
      </c>
    </row>
    <row r="14" spans="1:15" outlineLevel="1">
      <c r="B14" t="s">
        <v>263</v>
      </c>
      <c r="G14" s="9">
        <f>SUM(O26:R31)</f>
        <v>0</v>
      </c>
      <c r="H14" t="s">
        <v>23</v>
      </c>
      <c r="J14" t="s">
        <v>264</v>
      </c>
      <c r="M14">
        <f>SUM(O25:R31)</f>
        <v>0</v>
      </c>
    </row>
    <row r="15" spans="1:15" outlineLevel="1">
      <c r="B15" t="s">
        <v>265</v>
      </c>
      <c r="G15" s="152">
        <v>0</v>
      </c>
      <c r="H15" t="s">
        <v>23</v>
      </c>
      <c r="J15" t="s">
        <v>266</v>
      </c>
      <c r="M15">
        <f>SUM(C35:C38)</f>
        <v>0</v>
      </c>
    </row>
    <row r="16" spans="1:15" outlineLevel="1">
      <c r="B16" t="s">
        <v>267</v>
      </c>
      <c r="G16" s="152">
        <v>0</v>
      </c>
      <c r="H16" t="s">
        <v>23</v>
      </c>
    </row>
    <row r="17" spans="1:18" outlineLevel="1">
      <c r="B17" t="s">
        <v>268</v>
      </c>
      <c r="G17" s="153">
        <v>0</v>
      </c>
      <c r="H17" t="s">
        <v>23</v>
      </c>
    </row>
    <row r="18" spans="1:18" ht="13.5" outlineLevel="1" thickBot="1">
      <c r="B18" s="22" t="s">
        <v>269</v>
      </c>
      <c r="C18" s="23"/>
      <c r="D18" s="23"/>
      <c r="E18" s="23"/>
      <c r="F18" s="23"/>
      <c r="G18" s="24">
        <f>SUM(G12:G17)</f>
        <v>5000</v>
      </c>
      <c r="H18" s="4" t="s">
        <v>23</v>
      </c>
    </row>
    <row r="19" spans="1:18" ht="13.5" outlineLevel="1" thickTop="1">
      <c r="B19" t="s">
        <v>270</v>
      </c>
    </row>
    <row r="20" spans="1:18" outlineLevel="1">
      <c r="B20" s="4" t="s">
        <v>271</v>
      </c>
      <c r="G20" s="21">
        <v>0</v>
      </c>
      <c r="H20" s="4" t="s">
        <v>23</v>
      </c>
    </row>
    <row r="21" spans="1:18" outlineLevel="1"/>
    <row r="22" spans="1:18" ht="13.5" outlineLevel="1" thickBot="1"/>
    <row r="23" spans="1:18" outlineLevel="1">
      <c r="B23" s="99" t="s">
        <v>272</v>
      </c>
      <c r="C23" s="100"/>
      <c r="D23" s="100"/>
      <c r="E23" s="100"/>
      <c r="F23" s="100"/>
      <c r="G23" s="93"/>
      <c r="H23" s="99" t="s">
        <v>273</v>
      </c>
      <c r="I23" s="93"/>
    </row>
    <row r="24" spans="1:18" outlineLevel="1">
      <c r="B24" s="94" t="s">
        <v>274</v>
      </c>
      <c r="C24" s="101" t="s">
        <v>275</v>
      </c>
      <c r="D24" s="4" t="s">
        <v>274</v>
      </c>
      <c r="E24" s="101" t="s">
        <v>275</v>
      </c>
      <c r="F24" s="4" t="s">
        <v>274</v>
      </c>
      <c r="G24" s="102" t="s">
        <v>275</v>
      </c>
      <c r="H24" s="94" t="s">
        <v>274</v>
      </c>
      <c r="I24" s="102" t="s">
        <v>276</v>
      </c>
    </row>
    <row r="25" spans="1:18" outlineLevel="1">
      <c r="A25" s="14"/>
      <c r="B25" s="154">
        <v>0</v>
      </c>
      <c r="C25" s="103">
        <v>15</v>
      </c>
      <c r="D25" s="14"/>
      <c r="E25" s="103"/>
      <c r="F25" s="14"/>
      <c r="G25" s="104"/>
      <c r="H25" s="95"/>
      <c r="I25" s="96"/>
      <c r="J25" s="14">
        <v>0.23499999999999999</v>
      </c>
      <c r="K25" s="14"/>
      <c r="L25" s="14"/>
      <c r="O25" s="14">
        <f>J25*B25</f>
        <v>0</v>
      </c>
      <c r="P25" s="14"/>
      <c r="Q25" s="14"/>
    </row>
    <row r="26" spans="1:18" outlineLevel="1">
      <c r="B26" s="155">
        <v>0</v>
      </c>
      <c r="C26" s="1">
        <v>20</v>
      </c>
      <c r="D26" s="152">
        <v>0</v>
      </c>
      <c r="E26" s="1">
        <v>80</v>
      </c>
      <c r="F26" s="152">
        <v>0</v>
      </c>
      <c r="G26" s="105">
        <v>250</v>
      </c>
      <c r="H26" s="155">
        <v>0</v>
      </c>
      <c r="I26" s="108" t="s">
        <v>277</v>
      </c>
      <c r="J26">
        <v>0.4</v>
      </c>
      <c r="K26">
        <v>5.4</v>
      </c>
      <c r="L26">
        <v>54.3</v>
      </c>
      <c r="M26">
        <v>7.9000000000000001E-2</v>
      </c>
      <c r="O26">
        <f t="shared" ref="O26:O31" si="0">B26*J26</f>
        <v>0</v>
      </c>
      <c r="P26">
        <f t="shared" ref="P26:P31" si="1">D26*K26</f>
        <v>0</v>
      </c>
      <c r="Q26">
        <f t="shared" ref="Q26:Q31" si="2">F26*L26</f>
        <v>0</v>
      </c>
      <c r="R26">
        <f>M26*H26</f>
        <v>0</v>
      </c>
    </row>
    <row r="27" spans="1:18" outlineLevel="1">
      <c r="B27" s="155">
        <v>0</v>
      </c>
      <c r="C27" s="1">
        <v>25</v>
      </c>
      <c r="D27" s="152">
        <v>0</v>
      </c>
      <c r="E27" s="1">
        <v>100</v>
      </c>
      <c r="F27" s="152"/>
      <c r="G27" s="105">
        <v>300</v>
      </c>
      <c r="H27" s="155">
        <v>0</v>
      </c>
      <c r="I27" s="108" t="s">
        <v>278</v>
      </c>
      <c r="J27">
        <v>0.6</v>
      </c>
      <c r="K27">
        <v>8.9</v>
      </c>
      <c r="L27">
        <v>76.8</v>
      </c>
      <c r="M27">
        <v>0.13300000000000001</v>
      </c>
      <c r="O27">
        <f t="shared" si="0"/>
        <v>0</v>
      </c>
      <c r="P27">
        <f t="shared" si="1"/>
        <v>0</v>
      </c>
      <c r="Q27">
        <f t="shared" si="2"/>
        <v>0</v>
      </c>
      <c r="R27">
        <f>M27*H27</f>
        <v>0</v>
      </c>
    </row>
    <row r="28" spans="1:18" outlineLevel="1">
      <c r="B28" s="155">
        <v>0</v>
      </c>
      <c r="C28" s="1">
        <v>32</v>
      </c>
      <c r="D28" s="152">
        <v>0</v>
      </c>
      <c r="E28" s="1">
        <v>125</v>
      </c>
      <c r="F28" s="152">
        <v>0</v>
      </c>
      <c r="G28" s="105">
        <v>350</v>
      </c>
      <c r="H28" s="155">
        <v>0</v>
      </c>
      <c r="I28" s="108" t="s">
        <v>279</v>
      </c>
      <c r="J28">
        <v>1.1000000000000001</v>
      </c>
      <c r="K28">
        <v>13.8</v>
      </c>
      <c r="L28">
        <v>93.2</v>
      </c>
      <c r="M28">
        <v>0.20100000000000001</v>
      </c>
      <c r="O28">
        <f t="shared" si="0"/>
        <v>0</v>
      </c>
      <c r="P28">
        <f t="shared" si="1"/>
        <v>0</v>
      </c>
      <c r="Q28">
        <f t="shared" si="2"/>
        <v>0</v>
      </c>
      <c r="R28">
        <f>M28*H28</f>
        <v>0</v>
      </c>
    </row>
    <row r="29" spans="1:18" outlineLevel="1">
      <c r="B29" s="155">
        <v>0</v>
      </c>
      <c r="C29" s="1">
        <v>40</v>
      </c>
      <c r="D29" s="152">
        <v>0</v>
      </c>
      <c r="E29" s="1">
        <v>150</v>
      </c>
      <c r="F29" s="152">
        <v>0</v>
      </c>
      <c r="G29" s="105">
        <v>400</v>
      </c>
      <c r="H29" s="155">
        <v>0</v>
      </c>
      <c r="I29" s="108" t="s">
        <v>280</v>
      </c>
      <c r="J29">
        <v>1.5</v>
      </c>
      <c r="K29">
        <v>20.2</v>
      </c>
      <c r="L29">
        <v>122</v>
      </c>
      <c r="M29">
        <v>0.49099999999999999</v>
      </c>
      <c r="O29">
        <f t="shared" si="0"/>
        <v>0</v>
      </c>
      <c r="P29">
        <f t="shared" si="1"/>
        <v>0</v>
      </c>
      <c r="Q29">
        <f t="shared" si="2"/>
        <v>0</v>
      </c>
      <c r="R29">
        <f>M29*H29</f>
        <v>0</v>
      </c>
    </row>
    <row r="30" spans="1:18" outlineLevel="1">
      <c r="B30" s="155">
        <v>0</v>
      </c>
      <c r="C30" s="1">
        <v>50</v>
      </c>
      <c r="D30" s="152">
        <v>0</v>
      </c>
      <c r="E30" s="1">
        <v>175</v>
      </c>
      <c r="F30" s="152">
        <v>0</v>
      </c>
      <c r="G30" s="105">
        <v>500</v>
      </c>
      <c r="H30" s="155">
        <v>0</v>
      </c>
      <c r="I30" s="97"/>
      <c r="J30">
        <v>2.2999999999999998</v>
      </c>
      <c r="K30">
        <v>26.8</v>
      </c>
      <c r="L30">
        <v>193</v>
      </c>
      <c r="O30">
        <f t="shared" si="0"/>
        <v>0</v>
      </c>
      <c r="P30">
        <f t="shared" si="1"/>
        <v>0</v>
      </c>
      <c r="Q30">
        <f t="shared" si="2"/>
        <v>0</v>
      </c>
    </row>
    <row r="31" spans="1:18" ht="13.5" outlineLevel="1" thickBot="1">
      <c r="B31" s="156">
        <v>0</v>
      </c>
      <c r="C31" s="106">
        <v>65</v>
      </c>
      <c r="D31" s="157">
        <v>0</v>
      </c>
      <c r="E31" s="106">
        <v>200</v>
      </c>
      <c r="F31" s="157">
        <v>0</v>
      </c>
      <c r="G31" s="107">
        <v>600</v>
      </c>
      <c r="H31" s="156">
        <v>0</v>
      </c>
      <c r="I31" s="98"/>
      <c r="J31">
        <v>3.9</v>
      </c>
      <c r="K31">
        <v>34.700000000000003</v>
      </c>
      <c r="L31">
        <v>277</v>
      </c>
      <c r="O31">
        <f t="shared" si="0"/>
        <v>0</v>
      </c>
      <c r="P31">
        <f t="shared" si="1"/>
        <v>0</v>
      </c>
      <c r="Q31">
        <f t="shared" si="2"/>
        <v>0</v>
      </c>
    </row>
    <row r="32" spans="1:18" outlineLevel="1"/>
    <row r="33" spans="1:14" outlineLevel="1">
      <c r="B33" s="4" t="s">
        <v>281</v>
      </c>
    </row>
    <row r="34" spans="1:14" outlineLevel="1"/>
    <row r="35" spans="1:14" outlineLevel="1">
      <c r="B35" t="s">
        <v>282</v>
      </c>
      <c r="C35" s="152">
        <v>0</v>
      </c>
      <c r="D35" s="15" t="s">
        <v>23</v>
      </c>
    </row>
    <row r="36" spans="1:14" outlineLevel="1">
      <c r="B36" t="s">
        <v>283</v>
      </c>
      <c r="C36" s="152">
        <v>0</v>
      </c>
      <c r="D36" s="15" t="s">
        <v>23</v>
      </c>
    </row>
    <row r="37" spans="1:14" outlineLevel="1">
      <c r="B37" t="s">
        <v>284</v>
      </c>
      <c r="C37" s="152">
        <v>0</v>
      </c>
      <c r="D37" s="15" t="s">
        <v>23</v>
      </c>
    </row>
    <row r="38" spans="1:14" outlineLevel="1">
      <c r="B38" t="s">
        <v>285</v>
      </c>
      <c r="C38" s="152">
        <v>0</v>
      </c>
      <c r="D38" s="15" t="s">
        <v>23</v>
      </c>
    </row>
    <row r="40" spans="1:14">
      <c r="B40" s="4"/>
      <c r="E40" t="s">
        <v>286</v>
      </c>
    </row>
    <row r="41" spans="1:14" ht="15.75">
      <c r="A41" s="11" t="s">
        <v>287</v>
      </c>
      <c r="B41" s="4"/>
    </row>
    <row r="42" spans="1:14" outlineLevel="1">
      <c r="B42" s="4"/>
      <c r="F42" s="8"/>
    </row>
    <row r="43" spans="1:14" outlineLevel="1">
      <c r="B43" s="1" t="s">
        <v>288</v>
      </c>
      <c r="C43" s="1" t="s">
        <v>289</v>
      </c>
      <c r="D43" s="1" t="s">
        <v>290</v>
      </c>
      <c r="J43" s="14" t="s">
        <v>291</v>
      </c>
      <c r="K43" s="14"/>
      <c r="L43" s="9">
        <f>B48+C48/0.86+D48*8/0.86</f>
        <v>0</v>
      </c>
      <c r="M43" s="14"/>
      <c r="N43" s="14" t="s">
        <v>288</v>
      </c>
    </row>
    <row r="44" spans="1:14" outlineLevel="1">
      <c r="A44" t="s">
        <v>292</v>
      </c>
      <c r="B44" s="152">
        <v>0</v>
      </c>
      <c r="C44" s="152">
        <v>0</v>
      </c>
      <c r="D44" s="152">
        <v>0</v>
      </c>
    </row>
    <row r="45" spans="1:14" outlineLevel="1">
      <c r="A45" t="s">
        <v>283</v>
      </c>
      <c r="B45" s="152">
        <v>0</v>
      </c>
      <c r="C45" s="152">
        <v>0</v>
      </c>
      <c r="D45" s="152">
        <v>0</v>
      </c>
    </row>
    <row r="46" spans="1:14" outlineLevel="1">
      <c r="A46" t="s">
        <v>284</v>
      </c>
      <c r="B46" s="152">
        <v>0</v>
      </c>
      <c r="C46" s="152">
        <v>0</v>
      </c>
      <c r="D46" s="152">
        <v>0</v>
      </c>
    </row>
    <row r="47" spans="1:14" outlineLevel="1">
      <c r="A47" t="s">
        <v>285</v>
      </c>
      <c r="B47" s="153">
        <v>0</v>
      </c>
      <c r="C47" s="153">
        <v>0</v>
      </c>
      <c r="D47" s="153">
        <v>0</v>
      </c>
    </row>
    <row r="48" spans="1:14" outlineLevel="1">
      <c r="A48" t="s">
        <v>293</v>
      </c>
      <c r="B48" s="13">
        <f>SUM(B44:B47)</f>
        <v>0</v>
      </c>
      <c r="C48" s="13">
        <f>SUM(C44:C47)</f>
        <v>0</v>
      </c>
      <c r="D48" s="13">
        <f>SUM(D44:D47)</f>
        <v>0</v>
      </c>
    </row>
    <row r="49" spans="1:14" outlineLevel="1"/>
    <row r="50" spans="1:14" outlineLevel="1">
      <c r="A50" t="s">
        <v>294</v>
      </c>
      <c r="E50" s="7">
        <f>J50*$L$43</f>
        <v>0</v>
      </c>
      <c r="J50">
        <f>(0.86*1000*2)/450</f>
        <v>3.8222222222222224</v>
      </c>
      <c r="K50" t="s">
        <v>295</v>
      </c>
    </row>
    <row r="51" spans="1:14" outlineLevel="1">
      <c r="A51" t="s">
        <v>296</v>
      </c>
      <c r="E51" s="7">
        <f>J51*$L$43</f>
        <v>0</v>
      </c>
      <c r="J51">
        <f>1000*0.7/100</f>
        <v>7</v>
      </c>
      <c r="K51" t="s">
        <v>295</v>
      </c>
    </row>
    <row r="52" spans="1:14" outlineLevel="1">
      <c r="A52" t="s">
        <v>297</v>
      </c>
      <c r="E52" s="7">
        <f>J52*$L$43</f>
        <v>0</v>
      </c>
      <c r="J52">
        <f>0.86*1000*25/8000</f>
        <v>2.6875</v>
      </c>
      <c r="K52" t="s">
        <v>295</v>
      </c>
    </row>
    <row r="53" spans="1:14" outlineLevel="1">
      <c r="A53" s="4" t="s">
        <v>298</v>
      </c>
      <c r="E53" s="16">
        <f>SUM(E50:E52)</f>
        <v>0</v>
      </c>
    </row>
    <row r="55" spans="1:14">
      <c r="E55" t="s">
        <v>299</v>
      </c>
    </row>
    <row r="56" spans="1:14" ht="15.75">
      <c r="A56" s="11" t="s">
        <v>300</v>
      </c>
      <c r="B56" s="4"/>
    </row>
    <row r="57" spans="1:14" outlineLevel="1">
      <c r="B57" s="4"/>
      <c r="F57" s="8"/>
    </row>
    <row r="58" spans="1:14" outlineLevel="1">
      <c r="B58" s="1" t="s">
        <v>288</v>
      </c>
      <c r="C58" s="1" t="s">
        <v>289</v>
      </c>
      <c r="D58" s="1" t="s">
        <v>290</v>
      </c>
      <c r="J58" s="14" t="s">
        <v>291</v>
      </c>
      <c r="K58" s="14"/>
      <c r="L58" s="9">
        <f>B63+C63/0.86+D63*8/0.86</f>
        <v>0</v>
      </c>
      <c r="M58" s="14"/>
      <c r="N58" s="14" t="s">
        <v>288</v>
      </c>
    </row>
    <row r="59" spans="1:14" outlineLevel="1">
      <c r="A59" t="s">
        <v>292</v>
      </c>
      <c r="B59" s="152">
        <v>0</v>
      </c>
      <c r="C59" s="152">
        <v>0</v>
      </c>
      <c r="D59" s="152">
        <v>0</v>
      </c>
      <c r="J59" t="s">
        <v>301</v>
      </c>
      <c r="L59">
        <f>L58*0.8</f>
        <v>0</v>
      </c>
    </row>
    <row r="60" spans="1:14" outlineLevel="1">
      <c r="A60" t="s">
        <v>283</v>
      </c>
      <c r="B60" s="214" t="s">
        <v>528</v>
      </c>
      <c r="C60" s="152">
        <v>0</v>
      </c>
      <c r="D60" s="152">
        <v>0</v>
      </c>
    </row>
    <row r="61" spans="1:14" outlineLevel="1">
      <c r="A61" t="s">
        <v>284</v>
      </c>
      <c r="B61" s="152">
        <v>0</v>
      </c>
      <c r="C61" s="152">
        <v>0</v>
      </c>
      <c r="D61" s="152">
        <v>0</v>
      </c>
    </row>
    <row r="62" spans="1:14" outlineLevel="1">
      <c r="A62" t="s">
        <v>285</v>
      </c>
      <c r="B62" s="153">
        <v>0</v>
      </c>
      <c r="C62" s="153">
        <v>0</v>
      </c>
      <c r="D62" s="153">
        <v>0</v>
      </c>
    </row>
    <row r="63" spans="1:14" outlineLevel="1">
      <c r="A63" t="s">
        <v>293</v>
      </c>
      <c r="B63" s="13">
        <f>SUM(B59:B62)</f>
        <v>0</v>
      </c>
      <c r="C63" s="13">
        <f>SUM(C59:C62)</f>
        <v>0</v>
      </c>
      <c r="D63" s="13">
        <f>SUM(D59:D62)</f>
        <v>0</v>
      </c>
    </row>
    <row r="64" spans="1:14" outlineLevel="1"/>
    <row r="65" spans="1:11" outlineLevel="1">
      <c r="A65" t="s">
        <v>294</v>
      </c>
      <c r="E65" s="7">
        <f>J65*$L$59</f>
        <v>0</v>
      </c>
      <c r="J65">
        <f>(0.86*1000*2)/450</f>
        <v>3.8222222222222224</v>
      </c>
      <c r="K65" t="s">
        <v>295</v>
      </c>
    </row>
    <row r="66" spans="1:11" outlineLevel="1">
      <c r="A66" t="s">
        <v>296</v>
      </c>
      <c r="E66" s="7">
        <f>J66*$L$59</f>
        <v>0</v>
      </c>
      <c r="J66">
        <f>1000*0.7/100</f>
        <v>7</v>
      </c>
      <c r="K66" t="s">
        <v>295</v>
      </c>
    </row>
    <row r="67" spans="1:11" outlineLevel="1">
      <c r="A67" t="s">
        <v>297</v>
      </c>
      <c r="E67" s="7">
        <f>J67*$L$59</f>
        <v>0</v>
      </c>
      <c r="J67">
        <f>0.86*1000*25/8000</f>
        <v>2.6875</v>
      </c>
      <c r="K67" t="s">
        <v>295</v>
      </c>
    </row>
    <row r="68" spans="1:11" outlineLevel="1">
      <c r="A68" s="4" t="s">
        <v>298</v>
      </c>
      <c r="E68" s="16">
        <f>SUM(E65:E67)</f>
        <v>0</v>
      </c>
    </row>
    <row r="70" spans="1:11">
      <c r="E70" t="s">
        <v>302</v>
      </c>
    </row>
    <row r="71" spans="1:11" ht="15.75">
      <c r="A71" s="11" t="s">
        <v>303</v>
      </c>
    </row>
    <row r="72" spans="1:11" outlineLevel="1">
      <c r="J72" s="14" t="s">
        <v>304</v>
      </c>
    </row>
    <row r="73" spans="1:11" ht="15" outlineLevel="1">
      <c r="A73" s="5" t="s">
        <v>305</v>
      </c>
      <c r="J73" s="7">
        <f>(D75+D78)*0.33/0.05</f>
        <v>0</v>
      </c>
      <c r="K73" t="s">
        <v>23</v>
      </c>
    </row>
    <row r="74" spans="1:11" outlineLevel="1">
      <c r="A74" s="1" t="s">
        <v>306</v>
      </c>
      <c r="B74" s="1" t="s">
        <v>307</v>
      </c>
      <c r="D74" s="1" t="s">
        <v>308</v>
      </c>
    </row>
    <row r="75" spans="1:11" outlineLevel="1">
      <c r="A75" s="152">
        <v>0</v>
      </c>
      <c r="B75" s="152">
        <v>0</v>
      </c>
      <c r="D75" s="7">
        <f>(A75*A75*(3.14/4)*100)*B75*10</f>
        <v>0</v>
      </c>
    </row>
    <row r="76" spans="1:11" ht="15" outlineLevel="1">
      <c r="A76" s="5" t="s">
        <v>309</v>
      </c>
    </row>
    <row r="77" spans="1:11" outlineLevel="1">
      <c r="A77" t="s">
        <v>310</v>
      </c>
      <c r="B77" t="s">
        <v>311</v>
      </c>
      <c r="C77" s="1" t="s">
        <v>307</v>
      </c>
      <c r="D77" s="1" t="s">
        <v>308</v>
      </c>
    </row>
    <row r="78" spans="1:11" outlineLevel="1">
      <c r="A78" s="152">
        <v>0</v>
      </c>
      <c r="B78" s="152">
        <v>0</v>
      </c>
      <c r="C78" s="152">
        <v>0</v>
      </c>
      <c r="D78">
        <f>(A78*B78*C78)*1000</f>
        <v>0</v>
      </c>
    </row>
    <row r="79" spans="1:11" ht="23.25">
      <c r="B79" s="2"/>
      <c r="C79" s="2"/>
      <c r="D79" s="3"/>
    </row>
  </sheetData>
  <phoneticPr fontId="0" type="noConversion"/>
  <pageMargins left="0.78740157499999996" right="0.78740157499999996" top="0.984251969" bottom="0.984251969" header="0.5" footer="0.5"/>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4"/>
  <dimension ref="A1:AJ76"/>
  <sheetViews>
    <sheetView zoomScale="85" zoomScaleNormal="85" workbookViewId="0">
      <selection activeCell="F23" sqref="F23"/>
    </sheetView>
  </sheetViews>
  <sheetFormatPr baseColWidth="10" defaultColWidth="11.42578125" defaultRowHeight="12.75"/>
  <cols>
    <col min="1" max="1" width="18.5703125" bestFit="1" customWidth="1"/>
    <col min="4" max="4" width="16.28515625" bestFit="1" customWidth="1"/>
    <col min="5" max="5" width="5.7109375" bestFit="1" customWidth="1"/>
    <col min="6" max="6" width="12" bestFit="1" customWidth="1"/>
    <col min="8" max="8" width="18.7109375" customWidth="1"/>
    <col min="10" max="11" width="68" customWidth="1"/>
    <col min="15" max="15" width="16.140625" customWidth="1"/>
    <col min="16" max="16" width="55.7109375" customWidth="1"/>
    <col min="20" max="20" width="23" bestFit="1" customWidth="1"/>
    <col min="29" max="32" width="16.28515625" bestFit="1" customWidth="1"/>
    <col min="33" max="33" width="16.28515625" customWidth="1"/>
  </cols>
  <sheetData>
    <row r="1" spans="1:36" ht="12" customHeight="1"/>
    <row r="2" spans="1:36" ht="12" customHeight="1">
      <c r="A2" t="s">
        <v>312</v>
      </c>
      <c r="D2" s="37">
        <f>vannmengde</f>
        <v>5000</v>
      </c>
      <c r="E2" t="s">
        <v>23</v>
      </c>
      <c r="L2" t="s">
        <v>27</v>
      </c>
      <c r="M2">
        <v>3</v>
      </c>
    </row>
    <row r="3" spans="1:36" ht="12" customHeight="1">
      <c r="A3" t="s">
        <v>313</v>
      </c>
      <c r="D3" t="str">
        <f>Varme!E7</f>
        <v>Vann</v>
      </c>
      <c r="L3" t="s">
        <v>30</v>
      </c>
      <c r="M3">
        <v>4</v>
      </c>
    </row>
    <row r="4" spans="1:36" ht="12" customHeight="1">
      <c r="A4" t="s">
        <v>314</v>
      </c>
      <c r="D4">
        <f>Varme!E8</f>
        <v>40</v>
      </c>
      <c r="E4" t="s">
        <v>315</v>
      </c>
      <c r="G4" s="36">
        <f>VLOOKUP(D4,Data!A2:G31,M8)*D2+MAXA(D2*0.005,3)</f>
        <v>64.5</v>
      </c>
      <c r="H4" s="14" t="s">
        <v>316</v>
      </c>
      <c r="L4" t="s">
        <v>32</v>
      </c>
      <c r="M4">
        <v>5</v>
      </c>
    </row>
    <row r="5" spans="1:36" ht="12" customHeight="1">
      <c r="A5" t="s">
        <v>317</v>
      </c>
      <c r="D5" s="36">
        <f>IF(Varme!E10="Ja",Ekspansjon!G4,Ekspansjon!G5)</f>
        <v>64.5</v>
      </c>
      <c r="E5" t="s">
        <v>23</v>
      </c>
      <c r="G5" s="36">
        <f>VLOOKUP(D4,Data!A2:G31,M8)*D2</f>
        <v>39.500000000000007</v>
      </c>
      <c r="H5" s="14" t="s">
        <v>318</v>
      </c>
      <c r="L5" t="s">
        <v>36</v>
      </c>
      <c r="M5">
        <v>6</v>
      </c>
    </row>
    <row r="6" spans="1:36" ht="12" customHeight="1">
      <c r="L6" t="s">
        <v>319</v>
      </c>
      <c r="M6">
        <v>7</v>
      </c>
    </row>
    <row r="7" spans="1:36" ht="12" customHeight="1">
      <c r="A7" t="s">
        <v>320</v>
      </c>
      <c r="D7" s="55">
        <v>5</v>
      </c>
      <c r="E7" t="s">
        <v>38</v>
      </c>
      <c r="F7" s="62">
        <f>D11*0.1</f>
        <v>4</v>
      </c>
      <c r="G7" s="37">
        <f>MAXA(sikkblåseventil,F7)</f>
        <v>5</v>
      </c>
      <c r="L7" t="s">
        <v>26</v>
      </c>
      <c r="M7">
        <v>2</v>
      </c>
    </row>
    <row r="8" spans="1:36" ht="12" customHeight="1">
      <c r="A8" t="s">
        <v>321</v>
      </c>
      <c r="D8" s="27">
        <v>2</v>
      </c>
      <c r="E8" t="s">
        <v>38</v>
      </c>
      <c r="L8" t="s">
        <v>322</v>
      </c>
      <c r="M8">
        <f>VLOOKUP(D3,L2:M7,2)</f>
        <v>2</v>
      </c>
    </row>
    <row r="9" spans="1:36" ht="12" customHeight="1"/>
    <row r="10" spans="1:36" ht="12" customHeight="1">
      <c r="A10" s="4" t="s">
        <v>37</v>
      </c>
      <c r="D10" s="50">
        <f>Varme!E12</f>
        <v>24</v>
      </c>
      <c r="E10" t="s">
        <v>38</v>
      </c>
      <c r="O10" t="s">
        <v>76</v>
      </c>
      <c r="U10">
        <v>2</v>
      </c>
      <c r="V10">
        <v>3</v>
      </c>
      <c r="W10">
        <v>4</v>
      </c>
      <c r="X10">
        <v>5</v>
      </c>
      <c r="Y10">
        <v>6</v>
      </c>
      <c r="Z10">
        <v>7</v>
      </c>
      <c r="AC10">
        <v>2</v>
      </c>
      <c r="AD10">
        <v>3</v>
      </c>
      <c r="AE10">
        <v>4</v>
      </c>
      <c r="AF10">
        <v>5</v>
      </c>
      <c r="AG10">
        <v>6</v>
      </c>
      <c r="AH10">
        <v>7</v>
      </c>
    </row>
    <row r="11" spans="1:36" ht="12" customHeight="1">
      <c r="A11" s="4" t="s">
        <v>323</v>
      </c>
      <c r="D11" s="50">
        <f>Varme!E13</f>
        <v>40</v>
      </c>
      <c r="E11" t="s">
        <v>38</v>
      </c>
      <c r="L11">
        <v>0</v>
      </c>
      <c r="M11" t="str">
        <f>CONCATENATE("N ",L12)</f>
        <v>N 8</v>
      </c>
      <c r="N11">
        <v>8</v>
      </c>
      <c r="O11" t="s">
        <v>151</v>
      </c>
      <c r="P11" t="str">
        <f t="shared" ref="P11:P25" si="0">CONCATENATE("Reflex Refix ",O11," liter. 10 bar")</f>
        <v>Reflex Refix DE 100 liter. 10 bar</v>
      </c>
      <c r="Q11">
        <v>1</v>
      </c>
      <c r="T11" s="43" t="s">
        <v>82</v>
      </c>
      <c r="U11" s="30" t="s">
        <v>324</v>
      </c>
      <c r="V11" s="30" t="s">
        <v>325</v>
      </c>
      <c r="W11" s="30" t="s">
        <v>326</v>
      </c>
      <c r="X11" s="30" t="s">
        <v>327</v>
      </c>
      <c r="Y11" s="30" t="s">
        <v>328</v>
      </c>
      <c r="Z11" s="30" t="s">
        <v>329</v>
      </c>
      <c r="AA11" s="42"/>
      <c r="AC11" s="30" t="s">
        <v>324</v>
      </c>
      <c r="AD11" s="30" t="s">
        <v>325</v>
      </c>
      <c r="AE11" s="30" t="s">
        <v>326</v>
      </c>
      <c r="AF11" s="30" t="s">
        <v>327</v>
      </c>
      <c r="AG11" s="30" t="s">
        <v>328</v>
      </c>
      <c r="AH11" s="30" t="s">
        <v>329</v>
      </c>
      <c r="AJ11" s="204"/>
    </row>
    <row r="12" spans="1:36" ht="12" customHeight="1">
      <c r="A12" s="4"/>
      <c r="L12">
        <v>8</v>
      </c>
      <c r="M12" t="str">
        <f t="shared" ref="M12:M27" si="1">CONCATENATE("N ",L13)</f>
        <v>N 12</v>
      </c>
      <c r="N12">
        <v>12</v>
      </c>
      <c r="O12" t="s">
        <v>165</v>
      </c>
      <c r="P12" t="str">
        <f t="shared" si="0"/>
        <v>Reflex Refix DE 1000 liter. 10 bar</v>
      </c>
      <c r="Q12" s="92" t="s">
        <v>330</v>
      </c>
      <c r="T12" s="41"/>
      <c r="U12" s="205">
        <v>0.5</v>
      </c>
      <c r="V12" s="205">
        <v>0.75</v>
      </c>
      <c r="W12" s="205">
        <v>1</v>
      </c>
      <c r="X12" s="205">
        <v>1.25</v>
      </c>
      <c r="Y12" s="205">
        <v>1.5</v>
      </c>
      <c r="Z12" s="205">
        <v>2</v>
      </c>
      <c r="AA12" s="205"/>
      <c r="AC12" s="205">
        <v>0.5</v>
      </c>
      <c r="AD12" s="205">
        <v>0.75</v>
      </c>
      <c r="AE12" s="205">
        <v>1</v>
      </c>
      <c r="AF12" s="205">
        <v>1.25</v>
      </c>
      <c r="AG12" s="205">
        <v>1.5</v>
      </c>
      <c r="AH12" s="204">
        <v>2</v>
      </c>
      <c r="AI12" s="30" t="s">
        <v>324</v>
      </c>
      <c r="AJ12" s="204">
        <v>0.5</v>
      </c>
    </row>
    <row r="13" spans="1:36" ht="12" customHeight="1">
      <c r="A13" s="4" t="s">
        <v>42</v>
      </c>
      <c r="L13">
        <v>12</v>
      </c>
      <c r="M13" t="str">
        <f t="shared" si="1"/>
        <v>N 18</v>
      </c>
      <c r="N13">
        <v>18</v>
      </c>
      <c r="O13" t="s">
        <v>139</v>
      </c>
      <c r="P13" t="str">
        <f t="shared" si="0"/>
        <v>Reflex Refix DE 12 liter. 10 bar</v>
      </c>
      <c r="Q13" s="39" t="s">
        <v>331</v>
      </c>
      <c r="T13" s="206">
        <v>15</v>
      </c>
      <c r="U13" s="7">
        <v>36</v>
      </c>
      <c r="V13" s="7">
        <v>72</v>
      </c>
      <c r="W13" s="7">
        <v>144</v>
      </c>
      <c r="X13" s="7">
        <v>252</v>
      </c>
      <c r="Y13" s="7">
        <v>433</v>
      </c>
      <c r="Z13" s="7">
        <v>650</v>
      </c>
      <c r="AA13">
        <f t="shared" ref="AA13:AA19" si="2">T13</f>
        <v>15</v>
      </c>
      <c r="AB13">
        <f>T13</f>
        <v>15</v>
      </c>
      <c r="AC13" s="14"/>
      <c r="AI13" s="30" t="s">
        <v>327</v>
      </c>
      <c r="AJ13">
        <v>1.25</v>
      </c>
    </row>
    <row r="14" spans="1:36" ht="12" customHeight="1">
      <c r="A14" s="14" t="s">
        <v>332</v>
      </c>
      <c r="D14" s="10">
        <f>((D11-G7)+10-(D10+(10+D8)))/((D11-G7)+10)</f>
        <v>0.2</v>
      </c>
      <c r="F14" s="210"/>
      <c r="G14" s="210"/>
      <c r="L14">
        <v>18</v>
      </c>
      <c r="M14" t="str">
        <f t="shared" si="1"/>
        <v>N 25</v>
      </c>
      <c r="N14">
        <v>25</v>
      </c>
      <c r="O14" t="s">
        <v>141</v>
      </c>
      <c r="P14" t="str">
        <f t="shared" si="0"/>
        <v>Reflex Refix DE 18 liter. 10 bar</v>
      </c>
      <c r="Q14" s="39" t="s">
        <v>331</v>
      </c>
      <c r="T14" s="206">
        <v>20</v>
      </c>
      <c r="U14" s="7">
        <v>43</v>
      </c>
      <c r="V14" s="7">
        <v>86</v>
      </c>
      <c r="W14" s="7">
        <v>172</v>
      </c>
      <c r="X14" s="7">
        <v>302</v>
      </c>
      <c r="Y14" s="7">
        <v>518</v>
      </c>
      <c r="Z14" s="7">
        <v>778</v>
      </c>
      <c r="AA14">
        <f t="shared" si="2"/>
        <v>20</v>
      </c>
      <c r="AB14">
        <f t="shared" ref="AB14:AB19" si="3">T14</f>
        <v>20</v>
      </c>
      <c r="AC14" s="14" t="s">
        <v>333</v>
      </c>
      <c r="AE14" s="14" t="s">
        <v>334</v>
      </c>
      <c r="AI14" s="30" t="s">
        <v>328</v>
      </c>
      <c r="AJ14">
        <v>1.5</v>
      </c>
    </row>
    <row r="15" spans="1:36" ht="12" customHeight="1">
      <c r="A15" s="14" t="s">
        <v>335</v>
      </c>
      <c r="D15" s="37">
        <f>D5/D14</f>
        <v>322.5</v>
      </c>
      <c r="L15">
        <v>25</v>
      </c>
      <c r="M15" t="s">
        <v>336</v>
      </c>
      <c r="N15">
        <v>38</v>
      </c>
      <c r="O15" t="s">
        <v>153</v>
      </c>
      <c r="P15" t="str">
        <f t="shared" si="0"/>
        <v>Reflex Refix DE 200 liter. 10 bar</v>
      </c>
      <c r="Q15" s="91" t="s">
        <v>337</v>
      </c>
      <c r="T15" s="206">
        <v>25</v>
      </c>
      <c r="U15" s="7">
        <v>50</v>
      </c>
      <c r="V15" s="7">
        <v>100</v>
      </c>
      <c r="W15" s="7">
        <v>200</v>
      </c>
      <c r="X15" s="7">
        <v>350</v>
      </c>
      <c r="Y15" s="7">
        <v>600</v>
      </c>
      <c r="Z15" s="7">
        <v>900</v>
      </c>
      <c r="AA15">
        <f t="shared" si="2"/>
        <v>25</v>
      </c>
      <c r="AB15">
        <f t="shared" si="3"/>
        <v>25</v>
      </c>
      <c r="AC15" s="14" t="s">
        <v>338</v>
      </c>
      <c r="AD15" s="14" t="s">
        <v>339</v>
      </c>
      <c r="AE15" s="14" t="s">
        <v>340</v>
      </c>
      <c r="AF15" s="14" t="s">
        <v>341</v>
      </c>
      <c r="AG15" s="14" t="s">
        <v>342</v>
      </c>
      <c r="AH15" s="14" t="s">
        <v>343</v>
      </c>
      <c r="AI15" s="30" t="s">
        <v>326</v>
      </c>
      <c r="AJ15">
        <v>1</v>
      </c>
    </row>
    <row r="16" spans="1:36" ht="12" customHeight="1">
      <c r="A16" s="14" t="s">
        <v>344</v>
      </c>
      <c r="D16" s="207" t="str">
        <f>IF(Varme!E7="HX35",LOOKUP(D15,L30:M45),LOOKUP(Ekspansjon!D15,Ekspansjon!L11:M28))</f>
        <v>N 400</v>
      </c>
      <c r="F16" t="str">
        <f>IF(D16=O10,"",VLOOKUP(D16,O11:P42,2))</f>
        <v>REFLEX trykkekspansjonskar type N 400 / 1,5 dia 740 mm, høyde 1075 mm, vekt 65,0 kg. 
NRF nr. 840 07 12</v>
      </c>
      <c r="L16">
        <v>35</v>
      </c>
      <c r="M16" t="str">
        <f>CONCATENATE("NG ",L17)</f>
        <v>NG 50</v>
      </c>
      <c r="N16">
        <v>50</v>
      </c>
      <c r="O16" t="s">
        <v>143</v>
      </c>
      <c r="P16" t="str">
        <f t="shared" si="0"/>
        <v>Reflex Refix DE 25 liter. 10 bar</v>
      </c>
      <c r="Q16" s="39" t="s">
        <v>331</v>
      </c>
      <c r="T16" s="206">
        <v>30</v>
      </c>
      <c r="U16" s="7">
        <v>56</v>
      </c>
      <c r="V16" s="7">
        <v>112</v>
      </c>
      <c r="W16" s="7">
        <v>224</v>
      </c>
      <c r="X16" s="7">
        <v>395</v>
      </c>
      <c r="Y16" s="7">
        <v>678</v>
      </c>
      <c r="Z16" s="7">
        <v>1017</v>
      </c>
      <c r="AA16">
        <f t="shared" si="2"/>
        <v>30</v>
      </c>
      <c r="AB16">
        <f t="shared" si="3"/>
        <v>30</v>
      </c>
      <c r="AC16" s="14" t="s">
        <v>345</v>
      </c>
      <c r="AD16" s="14" t="s">
        <v>346</v>
      </c>
      <c r="AE16" s="14" t="s">
        <v>347</v>
      </c>
      <c r="AF16" s="14" t="s">
        <v>348</v>
      </c>
      <c r="AG16" s="14" t="s">
        <v>349</v>
      </c>
      <c r="AH16" s="14" t="s">
        <v>350</v>
      </c>
      <c r="AI16" s="30" t="s">
        <v>329</v>
      </c>
      <c r="AJ16" s="14">
        <v>2</v>
      </c>
    </row>
    <row r="17" spans="1:36" ht="12" customHeight="1">
      <c r="A17" s="4" t="s">
        <v>47</v>
      </c>
      <c r="D17" s="30" t="str">
        <f>CONCATENATE(VLOOKUP(D16,O10:Q42,3),"")</f>
        <v>1</v>
      </c>
      <c r="F17" t="str">
        <f>IF(F16="","",(VLOOKUP(D17,O72:P73,2)))</f>
        <v>1'' serviceventil for ekspansjonskar med avtapping. NRF nr. 840 08 16</v>
      </c>
      <c r="L17">
        <v>50</v>
      </c>
      <c r="M17" t="str">
        <f>CONCATENATE("NG ",L18)</f>
        <v>NG 80</v>
      </c>
      <c r="N17">
        <v>80</v>
      </c>
      <c r="O17" t="s">
        <v>155</v>
      </c>
      <c r="P17" t="str">
        <f t="shared" si="0"/>
        <v>Reflex Refix DE 300 liter. 10 bar</v>
      </c>
      <c r="Q17" s="91" t="s">
        <v>337</v>
      </c>
      <c r="T17" s="206">
        <v>40</v>
      </c>
      <c r="U17" s="7">
        <v>70</v>
      </c>
      <c r="V17" s="7">
        <v>140</v>
      </c>
      <c r="W17" s="7">
        <v>280</v>
      </c>
      <c r="X17" s="7">
        <v>490</v>
      </c>
      <c r="Y17" s="7">
        <v>840</v>
      </c>
      <c r="Z17" s="7">
        <v>1260</v>
      </c>
      <c r="AA17">
        <f t="shared" si="2"/>
        <v>40</v>
      </c>
      <c r="AB17">
        <f t="shared" si="3"/>
        <v>40</v>
      </c>
      <c r="AC17" s="14" t="s">
        <v>351</v>
      </c>
      <c r="AD17" s="14" t="s">
        <v>352</v>
      </c>
      <c r="AE17" s="14" t="s">
        <v>353</v>
      </c>
      <c r="AF17" s="14" t="s">
        <v>354</v>
      </c>
      <c r="AG17" s="14" t="s">
        <v>355</v>
      </c>
      <c r="AH17" s="14" t="s">
        <v>356</v>
      </c>
      <c r="AI17" s="30" t="s">
        <v>325</v>
      </c>
      <c r="AJ17">
        <v>0.75</v>
      </c>
    </row>
    <row r="18" spans="1:36" ht="12" customHeight="1">
      <c r="A18" s="4"/>
      <c r="L18">
        <v>80</v>
      </c>
      <c r="M18" t="str">
        <f>CONCATENATE("NG ",L19)</f>
        <v>NG 100</v>
      </c>
      <c r="N18">
        <v>100</v>
      </c>
      <c r="O18" t="s">
        <v>145</v>
      </c>
      <c r="P18" t="str">
        <f t="shared" si="0"/>
        <v>Reflex Refix DE 33 liter. 10 bar</v>
      </c>
      <c r="Q18" s="39" t="s">
        <v>331</v>
      </c>
      <c r="T18" s="206">
        <v>50</v>
      </c>
      <c r="U18" s="7">
        <v>84</v>
      </c>
      <c r="V18" s="7">
        <v>168</v>
      </c>
      <c r="W18" s="7">
        <v>336</v>
      </c>
      <c r="X18" s="7">
        <v>588</v>
      </c>
      <c r="Y18" s="7">
        <v>1008</v>
      </c>
      <c r="Z18" s="7">
        <v>1512</v>
      </c>
      <c r="AA18">
        <f t="shared" si="2"/>
        <v>50</v>
      </c>
      <c r="AB18">
        <f t="shared" si="3"/>
        <v>50</v>
      </c>
      <c r="AC18" s="14" t="s">
        <v>357</v>
      </c>
      <c r="AD18" s="14"/>
      <c r="AE18" s="14" t="s">
        <v>358</v>
      </c>
      <c r="AF18" s="14" t="s">
        <v>359</v>
      </c>
      <c r="AH18" s="14" t="s">
        <v>360</v>
      </c>
      <c r="AI18" s="30" t="s">
        <v>361</v>
      </c>
      <c r="AJ18" s="14" t="s">
        <v>362</v>
      </c>
    </row>
    <row r="19" spans="1:36" ht="12" customHeight="1">
      <c r="A19" s="4"/>
      <c r="L19">
        <v>100</v>
      </c>
      <c r="M19" t="str">
        <f>CONCATENATE("NG ",L20)</f>
        <v>NG 140</v>
      </c>
      <c r="N19">
        <v>140</v>
      </c>
      <c r="O19" t="s">
        <v>157</v>
      </c>
      <c r="P19" t="str">
        <f t="shared" si="0"/>
        <v>Reflex Refix DE 400 liter. 10 bar</v>
      </c>
      <c r="Q19" s="91" t="s">
        <v>337</v>
      </c>
      <c r="T19" s="206">
        <v>60</v>
      </c>
      <c r="U19" s="7">
        <v>94</v>
      </c>
      <c r="V19" s="7">
        <v>189</v>
      </c>
      <c r="W19" s="7">
        <v>379</v>
      </c>
      <c r="X19" s="7">
        <v>660</v>
      </c>
      <c r="Y19" s="7">
        <v>1140</v>
      </c>
      <c r="Z19" s="7">
        <v>1700</v>
      </c>
      <c r="AA19">
        <f t="shared" si="2"/>
        <v>60</v>
      </c>
      <c r="AB19">
        <f t="shared" si="3"/>
        <v>60</v>
      </c>
      <c r="AC19" s="14" t="s">
        <v>363</v>
      </c>
      <c r="AD19" s="14" t="s">
        <v>352</v>
      </c>
      <c r="AE19" s="14" t="s">
        <v>364</v>
      </c>
      <c r="AF19" s="14" t="s">
        <v>365</v>
      </c>
      <c r="AG19" s="14" t="s">
        <v>366</v>
      </c>
      <c r="AH19" s="14" t="s">
        <v>367</v>
      </c>
    </row>
    <row r="20" spans="1:36" ht="12" customHeight="1" thickBot="1">
      <c r="L20">
        <v>140</v>
      </c>
      <c r="M20" t="str">
        <f t="shared" si="1"/>
        <v>N 200</v>
      </c>
      <c r="N20">
        <v>200</v>
      </c>
      <c r="O20" t="s">
        <v>159</v>
      </c>
      <c r="P20" t="str">
        <f t="shared" si="0"/>
        <v>Reflex Refix DE 500 liter. 10 bar</v>
      </c>
      <c r="Q20" s="91" t="s">
        <v>337</v>
      </c>
      <c r="T20" s="127" t="s">
        <v>368</v>
      </c>
      <c r="U20" s="126">
        <f t="shared" ref="U20:Z20" si="4">VLOOKUP($D$11,$T$13:$Z$19,U10)</f>
        <v>70</v>
      </c>
      <c r="V20" s="126">
        <f t="shared" si="4"/>
        <v>140</v>
      </c>
      <c r="W20" s="126">
        <f t="shared" si="4"/>
        <v>280</v>
      </c>
      <c r="X20" s="126">
        <f t="shared" si="4"/>
        <v>490</v>
      </c>
      <c r="Y20" s="126">
        <f t="shared" si="4"/>
        <v>840</v>
      </c>
      <c r="Z20" s="126">
        <f t="shared" si="4"/>
        <v>1260</v>
      </c>
      <c r="AC20" s="7" t="str">
        <f t="shared" ref="AC20:AH20" si="5">VLOOKUP($D$11,$AB$13:$AH$19,AC10)</f>
        <v>NRF 8405968</v>
      </c>
      <c r="AD20" s="7" t="str">
        <f t="shared" si="5"/>
        <v>NRF 8405978</v>
      </c>
      <c r="AE20" s="7" t="str">
        <f t="shared" si="5"/>
        <v>NRF 8405982</v>
      </c>
      <c r="AF20" s="7" t="str">
        <f t="shared" si="5"/>
        <v>NRF 8405986</v>
      </c>
      <c r="AG20" s="7" t="str">
        <f t="shared" si="5"/>
        <v>NRF 8405988</v>
      </c>
      <c r="AH20" s="7" t="str">
        <f t="shared" si="5"/>
        <v>NRF 8405993</v>
      </c>
    </row>
    <row r="21" spans="1:36" ht="12" customHeight="1">
      <c r="A21" s="4" t="s">
        <v>48</v>
      </c>
      <c r="B21" s="38"/>
      <c r="D21" t="str">
        <f>IF(D10&gt;50,"Anbefaler bruk av pumpestyrt kar",'Kompressor-kar'!B12)</f>
        <v>Reflexomat XS</v>
      </c>
      <c r="F21" t="str">
        <f>VLOOKUP(D21,O50:P63,2)</f>
        <v>REFLEXOMAT XS ekspansjonskar, komplett for vertikal montasje og med utskiftbar membran.
Dimensjoner:
volum         80 liter
diameter     480 mm
høyde        1035 mm
vekt             28 kg
driftstemp.  110oC
anslutning    R1”</v>
      </c>
      <c r="L21">
        <v>200</v>
      </c>
      <c r="M21" t="str">
        <f t="shared" si="1"/>
        <v>N 250</v>
      </c>
      <c r="N21">
        <v>250</v>
      </c>
      <c r="O21" t="s">
        <v>369</v>
      </c>
      <c r="P21" t="str">
        <f t="shared" si="0"/>
        <v>Reflex Refix DE 60 liter. 10 bar</v>
      </c>
      <c r="Q21" s="39">
        <v>1</v>
      </c>
      <c r="T21" t="s">
        <v>370</v>
      </c>
      <c r="U21" s="7">
        <f t="shared" ref="U21:Z24" si="6">IF($D28&lt;=99.91,U$20,U$20*2)</f>
        <v>140</v>
      </c>
      <c r="V21" s="7">
        <f t="shared" si="6"/>
        <v>280</v>
      </c>
      <c r="W21" s="7">
        <f t="shared" si="6"/>
        <v>560</v>
      </c>
      <c r="X21" s="7">
        <f t="shared" si="6"/>
        <v>980</v>
      </c>
      <c r="Y21" s="7">
        <f t="shared" si="6"/>
        <v>1680</v>
      </c>
      <c r="Z21" s="7">
        <f t="shared" si="6"/>
        <v>2520</v>
      </c>
      <c r="AA21" t="str">
        <f>IF($D28&gt;Z21,"Benytt flere 2'' ventiler",IFERROR(HLOOKUP(D28,U21:$Z$26,AB21),$T$26))</f>
        <v>Benytt flere 2'' ventiler</v>
      </c>
      <c r="AB21">
        <v>6</v>
      </c>
      <c r="AC21">
        <f>D28</f>
        <v>5000</v>
      </c>
    </row>
    <row r="22" spans="1:36" ht="12" customHeight="1">
      <c r="D22" t="str">
        <f>'Kompressor-kar'!B14</f>
        <v/>
      </c>
      <c r="F22" t="str">
        <f>IF(D22="","",VLOOKUP(D22,O65:P69,2))</f>
        <v/>
      </c>
      <c r="L22">
        <v>250</v>
      </c>
      <c r="M22" t="str">
        <f t="shared" si="1"/>
        <v>N 300</v>
      </c>
      <c r="N22">
        <v>300</v>
      </c>
      <c r="O22" t="s">
        <v>161</v>
      </c>
      <c r="P22" t="str">
        <f t="shared" si="0"/>
        <v>Reflex Refix DE 600 liter. 10 bar</v>
      </c>
      <c r="Q22" s="92" t="s">
        <v>330</v>
      </c>
      <c r="T22" t="s">
        <v>371</v>
      </c>
      <c r="U22" s="7">
        <f t="shared" si="6"/>
        <v>70</v>
      </c>
      <c r="V22" s="7">
        <f t="shared" si="6"/>
        <v>140</v>
      </c>
      <c r="W22" s="7">
        <f t="shared" si="6"/>
        <v>280</v>
      </c>
      <c r="X22" s="7">
        <f t="shared" si="6"/>
        <v>490</v>
      </c>
      <c r="Y22" s="7">
        <f t="shared" si="6"/>
        <v>840</v>
      </c>
      <c r="Z22" s="7">
        <f t="shared" si="6"/>
        <v>1260</v>
      </c>
      <c r="AA22" t="str">
        <f>IF($D29&gt;Z22,"Benytt flere 2'' ventiler",IFERROR(HLOOKUP(D29,U22:$Z$26,AB22),$T$26))</f>
        <v>1 / 2”</v>
      </c>
      <c r="AB22">
        <v>5</v>
      </c>
      <c r="AC22">
        <f>D29</f>
        <v>0</v>
      </c>
    </row>
    <row r="23" spans="1:36" ht="12" customHeight="1">
      <c r="L23">
        <v>300</v>
      </c>
      <c r="M23" t="str">
        <f t="shared" si="1"/>
        <v>N 400</v>
      </c>
      <c r="N23">
        <v>400</v>
      </c>
      <c r="O23" t="s">
        <v>137</v>
      </c>
      <c r="P23" t="str">
        <f t="shared" si="0"/>
        <v>Reflex Refix DE 8 liter. 10 bar</v>
      </c>
      <c r="Q23" s="39" t="s">
        <v>331</v>
      </c>
      <c r="T23" t="s">
        <v>372</v>
      </c>
      <c r="U23" s="7">
        <f t="shared" si="6"/>
        <v>70</v>
      </c>
      <c r="V23" s="7">
        <f t="shared" si="6"/>
        <v>140</v>
      </c>
      <c r="W23" s="7">
        <f t="shared" si="6"/>
        <v>280</v>
      </c>
      <c r="X23" s="7">
        <f t="shared" si="6"/>
        <v>490</v>
      </c>
      <c r="Y23" s="7">
        <f t="shared" si="6"/>
        <v>840</v>
      </c>
      <c r="Z23" s="7">
        <f t="shared" si="6"/>
        <v>1260</v>
      </c>
      <c r="AA23" t="str">
        <f>IF($D30&gt;Z23,"Benytt flere 2'' ventiler",IFERROR(HLOOKUP(D30,U23:$Z$26,AB23),$T$26))</f>
        <v>1 / 2”</v>
      </c>
      <c r="AB23">
        <v>4</v>
      </c>
      <c r="AC23">
        <f>D30</f>
        <v>0</v>
      </c>
      <c r="AD23" s="37"/>
      <c r="AE23" s="37"/>
      <c r="AF23" s="37"/>
      <c r="AG23" s="37"/>
    </row>
    <row r="24" spans="1:36" ht="12" customHeight="1">
      <c r="A24" s="4" t="s">
        <v>53</v>
      </c>
      <c r="B24" s="207"/>
      <c r="D24" t="str">
        <f>Variomat</f>
        <v>Variomat 200</v>
      </c>
      <c r="F24" t="str">
        <f>VLOOKUP(D24,S50:T61,2)</f>
        <v>Variomat ekspansjonskar, type VG  200, komplett for vertikal montasje og med utskiftbar membran.
Dimensjoner:
volum         200 liter
diameter     634 mm
høyde        1060 mm
vekt             41,4 kg
anslutning    G1''</v>
      </c>
      <c r="L24">
        <v>400</v>
      </c>
      <c r="M24" t="str">
        <f t="shared" si="1"/>
        <v>N 500</v>
      </c>
      <c r="N24">
        <v>500</v>
      </c>
      <c r="O24" t="s">
        <v>149</v>
      </c>
      <c r="P24" t="str">
        <f t="shared" si="0"/>
        <v>Reflex Refix DE 80 liter. 10 bar</v>
      </c>
      <c r="Q24" s="39">
        <v>1</v>
      </c>
      <c r="T24" t="s">
        <v>373</v>
      </c>
      <c r="U24" s="7">
        <f t="shared" si="6"/>
        <v>70</v>
      </c>
      <c r="V24" s="7">
        <f t="shared" si="6"/>
        <v>140</v>
      </c>
      <c r="W24" s="7">
        <f t="shared" si="6"/>
        <v>280</v>
      </c>
      <c r="X24" s="7">
        <f t="shared" si="6"/>
        <v>490</v>
      </c>
      <c r="Y24" s="7">
        <f t="shared" si="6"/>
        <v>840</v>
      </c>
      <c r="Z24" s="7">
        <f t="shared" si="6"/>
        <v>1260</v>
      </c>
      <c r="AA24" t="str">
        <f>IF($D31&gt;Z24,"Benytt flere 2'' ventiler",IFERROR(HLOOKUP(D31,U24:$Z$26,AB24),$T$26))</f>
        <v>1 / 2”</v>
      </c>
      <c r="AB24">
        <v>3</v>
      </c>
      <c r="AC24">
        <f>D31</f>
        <v>0</v>
      </c>
    </row>
    <row r="25" spans="1:36" ht="12" customHeight="1">
      <c r="D25" t="str">
        <f>Pumpeenhet</f>
        <v>VS2-2/60</v>
      </c>
      <c r="F25" t="str">
        <f>VLOOKUP(D25,S65:T76,2)</f>
        <v>Styreautomatikk med to pumper for plassering ved 
siden av tank, med potensialfrie kontakter for 
overføring  av felles feilsignal for "lavt" og "høyt" 
vannivå i tank samt "pumpefeill", videre med 
konstant digital visning av systemtrykk i bar og 
vannivå i %
·hydraulisk/elektronisk vektcelle for vanninnhold.
·uttak for eventuell senere tilkobling av automatisk 
vannpåfylling.
Maks. arbeidstrykk:10 bar</v>
      </c>
      <c r="L25">
        <v>500</v>
      </c>
      <c r="M25" t="str">
        <f t="shared" si="1"/>
        <v>N 600</v>
      </c>
      <c r="N25">
        <v>600</v>
      </c>
      <c r="O25" t="s">
        <v>163</v>
      </c>
      <c r="P25" t="str">
        <f t="shared" si="0"/>
        <v>Reflex Refix DE 800 liter. 10 bar</v>
      </c>
      <c r="Q25" s="92" t="s">
        <v>330</v>
      </c>
      <c r="U25" s="7"/>
      <c r="V25" s="7"/>
      <c r="W25" s="7"/>
      <c r="X25" s="7"/>
      <c r="Y25" s="7"/>
      <c r="Z25" s="7"/>
      <c r="AB25">
        <v>2</v>
      </c>
    </row>
    <row r="26" spans="1:36" ht="12" customHeight="1">
      <c r="L26">
        <v>600</v>
      </c>
      <c r="M26" t="str">
        <f t="shared" si="1"/>
        <v>N 800</v>
      </c>
      <c r="N26">
        <v>800</v>
      </c>
      <c r="O26" t="s">
        <v>374</v>
      </c>
      <c r="P26" s="110" t="s">
        <v>375</v>
      </c>
      <c r="Q26" s="39" t="s">
        <v>376</v>
      </c>
      <c r="T26" t="str">
        <f>U11</f>
        <v>1 / 2”</v>
      </c>
      <c r="U26" t="str">
        <f>V11</f>
        <v>3 / 4''</v>
      </c>
      <c r="V26" t="str">
        <f>W11</f>
        <v>1”</v>
      </c>
      <c r="W26" t="str">
        <f>X11</f>
        <v>1 ¼”</v>
      </c>
      <c r="X26" t="str">
        <f t="shared" ref="X26:Y26" si="7">Y11</f>
        <v>1 1/2''</v>
      </c>
      <c r="Y26" t="str">
        <f t="shared" si="7"/>
        <v>2''</v>
      </c>
    </row>
    <row r="27" spans="1:36" ht="12" customHeight="1">
      <c r="A27" s="4" t="s">
        <v>57</v>
      </c>
      <c r="D27" t="s">
        <v>288</v>
      </c>
      <c r="E27" t="s">
        <v>377</v>
      </c>
      <c r="F27" t="s">
        <v>378</v>
      </c>
      <c r="G27" t="s">
        <v>379</v>
      </c>
      <c r="L27">
        <v>800</v>
      </c>
      <c r="M27" t="str">
        <f t="shared" si="1"/>
        <v>N 1000</v>
      </c>
      <c r="N27">
        <v>1000</v>
      </c>
      <c r="O27" t="s">
        <v>380</v>
      </c>
      <c r="P27" s="110" t="s">
        <v>381</v>
      </c>
      <c r="Q27" s="39" t="s">
        <v>331</v>
      </c>
    </row>
    <row r="28" spans="1:36" ht="12" customHeight="1">
      <c r="A28" s="14" t="s">
        <v>59</v>
      </c>
      <c r="D28" s="50">
        <f>Varme!E38</f>
        <v>5000</v>
      </c>
      <c r="E28">
        <f>IF(D28&gt;99.9,2,1)</f>
        <v>2</v>
      </c>
      <c r="F28" t="str">
        <f>IF(D28&gt;0,AA21,"")</f>
        <v>Benytt flere 2'' ventiler</v>
      </c>
      <c r="G28" s="7">
        <f>HLOOKUP(I28,$U$12:$Z$20,9)</f>
        <v>140</v>
      </c>
      <c r="H28" s="37" t="str">
        <f>IFERROR(IF(HLOOKUP(I28,$AC$12:$AH$20,9)=0,"",HLOOKUP(I28,$AC$12:$AH$20,9)),0)</f>
        <v>NRF 8405978</v>
      </c>
      <c r="I28">
        <f>VLOOKUP(F28,$AI$12:$AJ$17,2)</f>
        <v>0.75</v>
      </c>
      <c r="J28" s="44" t="str">
        <f>IFERROR(IF(F28="Benytt flere 2'' ventiler","Benytt flere enn 2 x 2'' ventiler",CONCATENATE(E28," stk.",F28," sikkerhetsventil med kapasitet ",ROUND(G28,0)," kW per ventil og ",$D$11/10," bar blåsetrykk ",H28)),0)</f>
        <v>Benytt flere enn 2 x 2'' ventiler</v>
      </c>
      <c r="L28">
        <v>1000</v>
      </c>
      <c r="M28" t="s">
        <v>76</v>
      </c>
      <c r="O28" t="s">
        <v>382</v>
      </c>
      <c r="P28" s="110" t="s">
        <v>383</v>
      </c>
      <c r="Q28" s="39" t="s">
        <v>331</v>
      </c>
    </row>
    <row r="29" spans="1:36" ht="12" customHeight="1">
      <c r="A29" s="14" t="s">
        <v>60</v>
      </c>
      <c r="D29" s="50">
        <f>Varme!E39</f>
        <v>0</v>
      </c>
      <c r="E29">
        <f>IF(D29&gt;99.9,2,1)</f>
        <v>1</v>
      </c>
      <c r="F29" t="str">
        <f>IF(D29&gt;0,AA22,"")</f>
        <v/>
      </c>
      <c r="G29" s="7" t="e">
        <f>HLOOKUP(I29,$U$12:$Z$20,9)</f>
        <v>#N/A</v>
      </c>
      <c r="H29" s="37">
        <f>IFERROR(IF(HLOOKUP(I29,$AC$12:$AH$20,9)=0,"",HLOOKUP(I29,$AC$12:$AH$20,9)),0)</f>
        <v>0</v>
      </c>
      <c r="I29" t="e">
        <f t="shared" ref="I29:I31" si="8">VLOOKUP(F29,$AI$12:$AJ$17,2)</f>
        <v>#N/A</v>
      </c>
      <c r="J29" s="44">
        <f>IFERROR(IF(F29="Benytt flere 2'' ventiler","Benytt flere enn 2 x 2'' ventiler",CONCATENATE(E29," stk.",F29," sikkerhetsventil med kapasitet ",ROUND(G29,0)," kW per ventil og ",$D$11/10," bar blåsetrykk ",H29)),0)</f>
        <v>0</v>
      </c>
      <c r="O29" t="s">
        <v>384</v>
      </c>
      <c r="P29" s="110" t="s">
        <v>385</v>
      </c>
      <c r="Q29" s="39" t="s">
        <v>376</v>
      </c>
    </row>
    <row r="30" spans="1:36" ht="12" customHeight="1">
      <c r="A30" s="14" t="s">
        <v>61</v>
      </c>
      <c r="D30" s="50">
        <f>Varme!E40</f>
        <v>0</v>
      </c>
      <c r="E30">
        <f>IF(D30&gt;99.9,2,1)</f>
        <v>1</v>
      </c>
      <c r="F30" t="str">
        <f>IF(D30&gt;0,AA23,"")</f>
        <v/>
      </c>
      <c r="G30" s="7" t="e">
        <f>HLOOKUP(I30,$U$12:$Z$20,9)</f>
        <v>#N/A</v>
      </c>
      <c r="H30" s="37">
        <f>IFERROR(IF(HLOOKUP(I30,$AC$12:$AH$20,9)=0,"",HLOOKUP(I30,$AC$12:$AH$20,9)),0)</f>
        <v>0</v>
      </c>
      <c r="I30" t="e">
        <f>VLOOKUP(F30,$AI$12:$AJ$18,2)</f>
        <v>#N/A</v>
      </c>
      <c r="J30" s="44">
        <f>IFERROR(IF(F30="Benytt flere 2'' ventiler","Benytt flere enn 2 x 2'' ventiler",CONCATENATE(E30," stk.",F30," sikkerhetsventil med kapasitet ",ROUND(G30,0)," kW per ventil og ",$D$11/10," bar blåsetrykk ",H30)),0)</f>
        <v>0</v>
      </c>
      <c r="L30">
        <v>0</v>
      </c>
      <c r="M30" t="str">
        <f>CONCATENATE("DE ",L31)</f>
        <v>DE 8</v>
      </c>
      <c r="N30">
        <v>8</v>
      </c>
      <c r="O30" t="s">
        <v>386</v>
      </c>
      <c r="P30" s="110" t="s">
        <v>387</v>
      </c>
      <c r="Q30" s="39" t="s">
        <v>331</v>
      </c>
    </row>
    <row r="31" spans="1:36" ht="12" customHeight="1">
      <c r="A31" s="14" t="s">
        <v>62</v>
      </c>
      <c r="D31" s="50">
        <f>Varme!E41</f>
        <v>0</v>
      </c>
      <c r="E31">
        <f>IF(D31&gt;99.9,2,1)</f>
        <v>1</v>
      </c>
      <c r="F31" t="str">
        <f>IF(D31&gt;0,AA24,"")</f>
        <v/>
      </c>
      <c r="G31" s="7" t="e">
        <f>HLOOKUP(I31,$U$12:$Z$20,9)</f>
        <v>#N/A</v>
      </c>
      <c r="H31" s="37">
        <f>IFERROR(IF(HLOOKUP(I31,$AC$12:$AH$20,9)=0,"",HLOOKUP(I31,$AC$12:$AH$20,9)),0)</f>
        <v>0</v>
      </c>
      <c r="I31" t="e">
        <f t="shared" si="8"/>
        <v>#N/A</v>
      </c>
      <c r="J31" s="44">
        <f>IFERROR(IF(F31="Benytt flere 2'' ventiler","Benytt flere enn 2 x 2'' ventiler",CONCATENATE(E31," stk.",F31," sikkerhetsventil med kapasitet ",ROUND(G31,0)," kW per ventil og ",$D$11/10," bar blåsetrykk ",H31)),0)</f>
        <v>0</v>
      </c>
      <c r="L31">
        <v>8</v>
      </c>
      <c r="M31" t="str">
        <f t="shared" ref="M31:M44" si="9">CONCATENATE("DE ",L32)</f>
        <v>DE 12</v>
      </c>
      <c r="N31">
        <v>12</v>
      </c>
      <c r="O31" t="s">
        <v>388</v>
      </c>
      <c r="P31" s="110" t="s">
        <v>389</v>
      </c>
      <c r="Q31" s="39" t="s">
        <v>376</v>
      </c>
    </row>
    <row r="32" spans="1:36" ht="12" customHeight="1">
      <c r="A32" s="14"/>
      <c r="D32">
        <f>SUM(D28:D31)</f>
        <v>5000</v>
      </c>
      <c r="G32" s="7"/>
      <c r="H32" s="37"/>
      <c r="J32" s="44"/>
      <c r="L32">
        <v>12</v>
      </c>
      <c r="M32" t="str">
        <f t="shared" si="9"/>
        <v>DE 18</v>
      </c>
      <c r="N32">
        <v>18</v>
      </c>
      <c r="O32" t="s">
        <v>390</v>
      </c>
      <c r="P32" s="110" t="s">
        <v>391</v>
      </c>
      <c r="Q32" s="39" t="s">
        <v>376</v>
      </c>
    </row>
    <row r="33" spans="1:17" ht="12" customHeight="1">
      <c r="L33">
        <v>18</v>
      </c>
      <c r="M33" t="str">
        <f t="shared" si="9"/>
        <v>DE 25</v>
      </c>
      <c r="N33">
        <v>25</v>
      </c>
      <c r="O33" t="s">
        <v>336</v>
      </c>
      <c r="P33" s="110" t="s">
        <v>392</v>
      </c>
      <c r="Q33" s="39" t="s">
        <v>331</v>
      </c>
    </row>
    <row r="34" spans="1:17" ht="12" customHeight="1">
      <c r="L34">
        <v>25</v>
      </c>
      <c r="M34" t="str">
        <f t="shared" si="9"/>
        <v>DE 33</v>
      </c>
      <c r="N34">
        <v>33</v>
      </c>
      <c r="O34" t="s">
        <v>393</v>
      </c>
      <c r="P34" s="110" t="s">
        <v>394</v>
      </c>
      <c r="Q34" s="39" t="s">
        <v>376</v>
      </c>
    </row>
    <row r="35" spans="1:17" ht="12" customHeight="1">
      <c r="L35">
        <v>33</v>
      </c>
      <c r="M35" t="str">
        <f t="shared" si="9"/>
        <v>DE 60</v>
      </c>
      <c r="N35">
        <v>60</v>
      </c>
      <c r="O35" t="s">
        <v>395</v>
      </c>
      <c r="P35" s="110" t="s">
        <v>396</v>
      </c>
      <c r="Q35" s="39" t="s">
        <v>376</v>
      </c>
    </row>
    <row r="36" spans="1:17" ht="12" customHeight="1">
      <c r="L36">
        <v>60</v>
      </c>
      <c r="M36" t="str">
        <f t="shared" si="9"/>
        <v>DE 80</v>
      </c>
      <c r="N36">
        <v>80</v>
      </c>
      <c r="O36" t="s">
        <v>397</v>
      </c>
      <c r="P36" s="110" t="s">
        <v>398</v>
      </c>
      <c r="Q36" s="39" t="s">
        <v>376</v>
      </c>
    </row>
    <row r="37" spans="1:17" ht="38.25">
      <c r="A37" t="s">
        <v>399</v>
      </c>
      <c r="B37">
        <f>((P0+1.7)/0.4)*4.5</f>
        <v>46.462499999999999</v>
      </c>
      <c r="D37" t="str">
        <f>LOOKUP(Ekspansjon!B37,Ekspansjon!L30:M45)</f>
        <v>DE 60</v>
      </c>
      <c r="F37" t="str">
        <f>IF(D37=O10,"",VLOOKUP(D37,O11:P42,2))</f>
        <v>Reflex Refix DE 60 liter. 10 bar</v>
      </c>
      <c r="L37">
        <v>80</v>
      </c>
      <c r="M37" t="str">
        <f t="shared" si="9"/>
        <v>DE 100</v>
      </c>
      <c r="N37">
        <v>100</v>
      </c>
      <c r="O37" t="s">
        <v>400</v>
      </c>
      <c r="P37" s="110" t="s">
        <v>401</v>
      </c>
      <c r="Q37" s="39" t="s">
        <v>331</v>
      </c>
    </row>
    <row r="38" spans="1:17" ht="38.25">
      <c r="L38">
        <v>100</v>
      </c>
      <c r="M38" t="str">
        <f t="shared" si="9"/>
        <v>DE 200</v>
      </c>
      <c r="N38">
        <v>200</v>
      </c>
      <c r="O38" t="s">
        <v>402</v>
      </c>
      <c r="P38" s="110" t="s">
        <v>403</v>
      </c>
      <c r="Q38" s="39" t="s">
        <v>376</v>
      </c>
    </row>
    <row r="39" spans="1:17" ht="38.25">
      <c r="L39">
        <v>200</v>
      </c>
      <c r="M39" t="str">
        <f t="shared" si="9"/>
        <v>DE 300</v>
      </c>
      <c r="N39">
        <v>300</v>
      </c>
      <c r="O39" t="s">
        <v>404</v>
      </c>
      <c r="P39" s="110" t="s">
        <v>405</v>
      </c>
      <c r="Q39" s="39" t="s">
        <v>376</v>
      </c>
    </row>
    <row r="40" spans="1:17" ht="38.25">
      <c r="L40">
        <v>300</v>
      </c>
      <c r="M40" t="str">
        <f t="shared" si="9"/>
        <v>DE 400</v>
      </c>
      <c r="N40">
        <v>400</v>
      </c>
      <c r="O40" t="s">
        <v>406</v>
      </c>
      <c r="P40" s="110" t="s">
        <v>407</v>
      </c>
      <c r="Q40" s="39" t="s">
        <v>376</v>
      </c>
    </row>
    <row r="41" spans="1:17" ht="38.25">
      <c r="L41">
        <v>400</v>
      </c>
      <c r="M41" t="str">
        <f t="shared" si="9"/>
        <v>DE 500</v>
      </c>
      <c r="N41">
        <v>500</v>
      </c>
      <c r="O41" t="s">
        <v>408</v>
      </c>
      <c r="P41" s="110" t="s">
        <v>409</v>
      </c>
      <c r="Q41" s="39" t="s">
        <v>331</v>
      </c>
    </row>
    <row r="42" spans="1:17" ht="38.25">
      <c r="L42">
        <v>500</v>
      </c>
      <c r="M42" t="str">
        <f t="shared" si="9"/>
        <v>DE 600</v>
      </c>
      <c r="N42">
        <v>600</v>
      </c>
      <c r="O42" t="s">
        <v>410</v>
      </c>
      <c r="P42" s="110" t="s">
        <v>411</v>
      </c>
      <c r="Q42" s="39" t="s">
        <v>376</v>
      </c>
    </row>
    <row r="43" spans="1:17">
      <c r="L43">
        <v>600</v>
      </c>
      <c r="M43" t="str">
        <f t="shared" si="9"/>
        <v>DE 800</v>
      </c>
      <c r="N43">
        <v>800</v>
      </c>
      <c r="Q43" s="39"/>
    </row>
    <row r="44" spans="1:17">
      <c r="L44">
        <v>800</v>
      </c>
      <c r="M44" t="str">
        <f t="shared" si="9"/>
        <v>DE 1000</v>
      </c>
      <c r="N44">
        <v>1000</v>
      </c>
    </row>
    <row r="45" spans="1:17">
      <c r="L45">
        <v>1000</v>
      </c>
      <c r="M45" t="s">
        <v>76</v>
      </c>
    </row>
    <row r="50" spans="15:20" ht="153">
      <c r="O50" t="s">
        <v>412</v>
      </c>
      <c r="P50" s="110" t="s">
        <v>413</v>
      </c>
      <c r="S50" t="s">
        <v>414</v>
      </c>
      <c r="T50" s="110" t="s">
        <v>415</v>
      </c>
    </row>
    <row r="51" spans="15:20" ht="165.75">
      <c r="O51" t="s">
        <v>416</v>
      </c>
      <c r="P51" s="40" t="s">
        <v>417</v>
      </c>
      <c r="S51" t="s">
        <v>418</v>
      </c>
      <c r="T51" s="110" t="s">
        <v>419</v>
      </c>
    </row>
    <row r="52" spans="15:20" ht="140.25">
      <c r="O52" t="s">
        <v>420</v>
      </c>
      <c r="P52" s="40" t="s">
        <v>421</v>
      </c>
      <c r="S52" t="s">
        <v>422</v>
      </c>
      <c r="T52" s="110" t="s">
        <v>423</v>
      </c>
    </row>
    <row r="53" spans="15:20" ht="140.25">
      <c r="O53" t="s">
        <v>424</v>
      </c>
      <c r="P53" s="40" t="s">
        <v>425</v>
      </c>
      <c r="S53" t="s">
        <v>426</v>
      </c>
      <c r="T53" s="110" t="s">
        <v>427</v>
      </c>
    </row>
    <row r="54" spans="15:20" ht="140.25">
      <c r="O54" t="s">
        <v>428</v>
      </c>
      <c r="P54" s="40" t="s">
        <v>429</v>
      </c>
      <c r="S54" t="s">
        <v>430</v>
      </c>
      <c r="T54" s="110" t="s">
        <v>431</v>
      </c>
    </row>
    <row r="55" spans="15:20" ht="153">
      <c r="O55" t="s">
        <v>432</v>
      </c>
      <c r="P55" s="40" t="s">
        <v>433</v>
      </c>
      <c r="S55" t="s">
        <v>434</v>
      </c>
      <c r="T55" s="110" t="s">
        <v>435</v>
      </c>
    </row>
    <row r="56" spans="15:20" ht="140.25">
      <c r="O56" t="s">
        <v>436</v>
      </c>
      <c r="P56" s="40" t="s">
        <v>437</v>
      </c>
      <c r="S56" t="s">
        <v>438</v>
      </c>
      <c r="T56" s="110" t="s">
        <v>439</v>
      </c>
    </row>
    <row r="57" spans="15:20" ht="153">
      <c r="O57" t="s">
        <v>440</v>
      </c>
      <c r="P57" s="40" t="s">
        <v>441</v>
      </c>
      <c r="S57" t="s">
        <v>442</v>
      </c>
      <c r="T57" s="110" t="s">
        <v>443</v>
      </c>
    </row>
    <row r="58" spans="15:20" ht="140.25">
      <c r="O58" t="s">
        <v>444</v>
      </c>
      <c r="P58" s="40" t="s">
        <v>445</v>
      </c>
      <c r="S58" t="s">
        <v>446</v>
      </c>
      <c r="T58" s="110" t="s">
        <v>447</v>
      </c>
    </row>
    <row r="59" spans="15:20" ht="153">
      <c r="O59" t="s">
        <v>448</v>
      </c>
      <c r="P59" s="40" t="s">
        <v>449</v>
      </c>
      <c r="S59" t="s">
        <v>450</v>
      </c>
      <c r="T59" s="110" t="s">
        <v>451</v>
      </c>
    </row>
    <row r="60" spans="15:20" ht="140.25">
      <c r="O60" t="s">
        <v>452</v>
      </c>
      <c r="P60" s="40" t="s">
        <v>453</v>
      </c>
      <c r="S60" t="s">
        <v>454</v>
      </c>
      <c r="T60" s="110" t="s">
        <v>455</v>
      </c>
    </row>
    <row r="61" spans="15:20" ht="140.25">
      <c r="O61" t="s">
        <v>456</v>
      </c>
      <c r="P61" s="40" t="s">
        <v>457</v>
      </c>
      <c r="S61" t="s">
        <v>458</v>
      </c>
      <c r="T61" s="110" t="s">
        <v>459</v>
      </c>
    </row>
    <row r="62" spans="15:20" ht="127.5">
      <c r="O62" t="s">
        <v>529</v>
      </c>
      <c r="P62" s="40" t="s">
        <v>530</v>
      </c>
      <c r="T62" s="110"/>
    </row>
    <row r="63" spans="15:20">
      <c r="O63" t="s">
        <v>460</v>
      </c>
    </row>
    <row r="64" spans="15:20" ht="77.25" customHeight="1"/>
    <row r="65" spans="15:20" ht="77.25" customHeight="1">
      <c r="O65" t="s">
        <v>461</v>
      </c>
      <c r="P65" s="110" t="s">
        <v>462</v>
      </c>
      <c r="S65" s="14" t="s">
        <v>463</v>
      </c>
      <c r="T65" s="110" t="s">
        <v>464</v>
      </c>
    </row>
    <row r="66" spans="15:20" ht="129" customHeight="1">
      <c r="O66" t="s">
        <v>465</v>
      </c>
      <c r="P66" s="110" t="s">
        <v>466</v>
      </c>
      <c r="S66" s="14" t="s">
        <v>467</v>
      </c>
      <c r="T66" s="110" t="s">
        <v>468</v>
      </c>
    </row>
    <row r="67" spans="15:20" ht="120.75" customHeight="1">
      <c r="O67" t="s">
        <v>469</v>
      </c>
      <c r="P67" s="110" t="s">
        <v>470</v>
      </c>
      <c r="S67" s="14" t="s">
        <v>471</v>
      </c>
      <c r="T67" s="110" t="s">
        <v>468</v>
      </c>
    </row>
    <row r="68" spans="15:20" ht="120.75" customHeight="1">
      <c r="O68" t="s">
        <v>472</v>
      </c>
      <c r="P68" s="110" t="s">
        <v>473</v>
      </c>
      <c r="S68" s="14" t="s">
        <v>474</v>
      </c>
      <c r="T68" s="110" t="s">
        <v>475</v>
      </c>
    </row>
    <row r="69" spans="15:20" ht="229.5">
      <c r="O69" t="s">
        <v>476</v>
      </c>
      <c r="P69" s="110" t="s">
        <v>477</v>
      </c>
      <c r="S69" s="14" t="s">
        <v>478</v>
      </c>
      <c r="T69" s="110" t="s">
        <v>479</v>
      </c>
    </row>
    <row r="70" spans="15:20" ht="204">
      <c r="S70" s="14" t="s">
        <v>480</v>
      </c>
      <c r="T70" s="110" t="s">
        <v>481</v>
      </c>
    </row>
    <row r="71" spans="15:20" ht="229.5">
      <c r="S71" s="14" t="s">
        <v>482</v>
      </c>
      <c r="T71" s="110" t="s">
        <v>483</v>
      </c>
    </row>
    <row r="72" spans="15:20" ht="229.5">
      <c r="O72" s="39" t="s">
        <v>376</v>
      </c>
      <c r="P72" t="s">
        <v>484</v>
      </c>
      <c r="S72" s="14" t="s">
        <v>485</v>
      </c>
      <c r="T72" s="110" t="s">
        <v>483</v>
      </c>
    </row>
    <row r="73" spans="15:20" ht="216.75">
      <c r="O73" s="48" t="s">
        <v>331</v>
      </c>
      <c r="P73" t="s">
        <v>486</v>
      </c>
      <c r="S73" s="14" t="s">
        <v>487</v>
      </c>
      <c r="T73" s="110" t="s">
        <v>488</v>
      </c>
    </row>
    <row r="74" spans="15:20" ht="204">
      <c r="S74" s="14" t="s">
        <v>489</v>
      </c>
      <c r="T74" s="110" t="s">
        <v>481</v>
      </c>
    </row>
    <row r="75" spans="15:20" ht="293.25">
      <c r="S75" s="14" t="s">
        <v>490</v>
      </c>
      <c r="T75" s="110" t="s">
        <v>491</v>
      </c>
    </row>
    <row r="76" spans="15:20" ht="204">
      <c r="S76" s="14" t="s">
        <v>492</v>
      </c>
      <c r="T76" s="110" t="s">
        <v>481</v>
      </c>
    </row>
  </sheetData>
  <sortState xmlns:xlrd2="http://schemas.microsoft.com/office/spreadsheetml/2017/richdata2" ref="O65:P69">
    <sortCondition ref="O65:O69"/>
  </sortState>
  <phoneticPr fontId="0" type="noConversion"/>
  <pageMargins left="0.78740157499999996" right="0.78740157499999996" top="0.984251969" bottom="0.984251969" header="0.5" footer="0.5"/>
  <pageSetup paperSize="9"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7a04759-d1b4-45e3-9e6a-cb8ef2135a39" xsi:nil="true"/>
    <lcf76f155ced4ddcb4097134ff3c332f xmlns="e329a60b-0d70-4bbc-aea1-2ff7f3dbd4b8">
      <Terms xmlns="http://schemas.microsoft.com/office/infopath/2007/PartnerControls"/>
    </lcf76f155ced4ddcb4097134ff3c332f>
    <datoservice xmlns="e329a60b-0d70-4bbc-aea1-2ff7f3dbd4b8" xsi:nil="true"/>
    <MediaLengthInSeconds xmlns="e329a60b-0d70-4bbc-aea1-2ff7f3dbd4b8" xsi:nil="true"/>
    <SharedWithUsers xmlns="97a04759-d1b4-45e3-9e6a-cb8ef2135a39">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F574E3FA57E4249AC746D14D3141959" ma:contentTypeVersion="16" ma:contentTypeDescription="Create a new document." ma:contentTypeScope="" ma:versionID="795ff6818e281df6dc6e7daff1cd6923">
  <xsd:schema xmlns:xsd="http://www.w3.org/2001/XMLSchema" xmlns:xs="http://www.w3.org/2001/XMLSchema" xmlns:p="http://schemas.microsoft.com/office/2006/metadata/properties" xmlns:ns2="e329a60b-0d70-4bbc-aea1-2ff7f3dbd4b8" xmlns:ns3="97a04759-d1b4-45e3-9e6a-cb8ef2135a39" targetNamespace="http://schemas.microsoft.com/office/2006/metadata/properties" ma:root="true" ma:fieldsID="bc9afeee2a4a09c5c394fdbf7fcca277" ns2:_="" ns3:_="">
    <xsd:import namespace="e329a60b-0d70-4bbc-aea1-2ff7f3dbd4b8"/>
    <xsd:import namespace="97a04759-d1b4-45e3-9e6a-cb8ef2135a3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3:SharedWithUsers" minOccurs="0"/>
                <xsd:element ref="ns3:SharedWithDetails" minOccurs="0"/>
                <xsd:element ref="ns2:datoservic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29a60b-0d70-4bbc-aea1-2ff7f3dbd4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1353da9c-79bf-41a1-94ca-13bae57ceaf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datoservice" ma:index="22" nillable="true" ma:displayName="dato service" ma:format="DateOnly" ma:internalName="datoservice">
      <xsd:simpleType>
        <xsd:restriction base="dms:DateTim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7a04759-d1b4-45e3-9e6a-cb8ef2135a39"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c2d6569-458c-4e49-9f6d-048c425a31be}" ma:internalName="TaxCatchAll" ma:showField="CatchAllData" ma:web="97a04759-d1b4-45e3-9e6a-cb8ef2135a39">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56479E2-CE4E-4700-A67C-D0A2E4321694}">
  <ds:schemaRefs>
    <ds:schemaRef ds:uri="http://schemas.microsoft.com/office/2006/documentManagement/types"/>
    <ds:schemaRef ds:uri="http://purl.org/dc/elements/1.1/"/>
    <ds:schemaRef ds:uri="http://schemas.microsoft.com/office/2006/metadata/properties"/>
    <ds:schemaRef ds:uri="http://www.w3.org/XML/1998/namespace"/>
    <ds:schemaRef ds:uri="http://purl.org/dc/terms/"/>
    <ds:schemaRef ds:uri="e329a60b-0d70-4bbc-aea1-2ff7f3dbd4b8"/>
    <ds:schemaRef ds:uri="97a04759-d1b4-45e3-9e6a-cb8ef2135a39"/>
    <ds:schemaRef ds:uri="http://purl.org/dc/dcmitype/"/>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DDCDBB52-D4F6-4672-A574-6F961C59FA55}">
  <ds:schemaRefs>
    <ds:schemaRef ds:uri="http://schemas.microsoft.com/sharepoint/v3/contenttype/forms"/>
  </ds:schemaRefs>
</ds:datastoreItem>
</file>

<file path=customXml/itemProps3.xml><?xml version="1.0" encoding="utf-8"?>
<ds:datastoreItem xmlns:ds="http://schemas.openxmlformats.org/officeDocument/2006/customXml" ds:itemID="{1650D965-4E73-4A78-8D09-1B7014FB52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29a60b-0d70-4bbc-aea1-2ff7f3dbd4b8"/>
    <ds:schemaRef ds:uri="97a04759-d1b4-45e3-9e6a-cb8ef2135a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13</vt:i4>
      </vt:variant>
      <vt:variant>
        <vt:lpstr>Navngitte områder</vt:lpstr>
      </vt:variant>
      <vt:variant>
        <vt:i4>30</vt:i4>
      </vt:variant>
    </vt:vector>
  </HeadingPairs>
  <TitlesOfParts>
    <vt:vector size="43" baseType="lpstr">
      <vt:lpstr>Introduksjon</vt:lpstr>
      <vt:lpstr>Varme</vt:lpstr>
      <vt:lpstr>Test_trykk_i_anlegg</vt:lpstr>
      <vt:lpstr>3-rørs system</vt:lpstr>
      <vt:lpstr>Bereder</vt:lpstr>
      <vt:lpstr>Solar</vt:lpstr>
      <vt:lpstr>Tappevann</vt:lpstr>
      <vt:lpstr>Vannmengde</vt:lpstr>
      <vt:lpstr>Ekspansjon</vt:lpstr>
      <vt:lpstr>Kompressor-kar</vt:lpstr>
      <vt:lpstr>Diagram</vt:lpstr>
      <vt:lpstr>Data</vt:lpstr>
      <vt:lpstr>Variomat</vt:lpstr>
      <vt:lpstr>Variomat!Betingelser</vt:lpstr>
      <vt:lpstr>dPp</vt:lpstr>
      <vt:lpstr>Effekt</vt:lpstr>
      <vt:lpstr>Tappevann!ekspansjon</vt:lpstr>
      <vt:lpstr>ekspansjon</vt:lpstr>
      <vt:lpstr>'3-rørs system'!Ekspansjonbereder</vt:lpstr>
      <vt:lpstr>Tappevann!Ekspansjonbereder</vt:lpstr>
      <vt:lpstr>Ekspansjonbereder</vt:lpstr>
      <vt:lpstr>Tappevann!komptrykk</vt:lpstr>
      <vt:lpstr>komptrykk</vt:lpstr>
      <vt:lpstr>n</vt:lpstr>
      <vt:lpstr>P0</vt:lpstr>
      <vt:lpstr>Pd</vt:lpstr>
      <vt:lpstr>Pe</vt:lpstr>
      <vt:lpstr>Pst</vt:lpstr>
      <vt:lpstr>Psv</vt:lpstr>
      <vt:lpstr>Pumpeenhet</vt:lpstr>
      <vt:lpstr>sikkblåseventil</vt:lpstr>
      <vt:lpstr>sikkstatisk</vt:lpstr>
      <vt:lpstr>ta</vt:lpstr>
      <vt:lpstr>tv</vt:lpstr>
      <vt:lpstr>Varme!Utskriftsområde</vt:lpstr>
      <vt:lpstr>Variomat!Utvalg</vt:lpstr>
      <vt:lpstr>Va</vt:lpstr>
      <vt:lpstr>Tappevann!vannmengde</vt:lpstr>
      <vt:lpstr>vannmengde</vt:lpstr>
      <vt:lpstr>Variomat</vt:lpstr>
      <vt:lpstr>Ve</vt:lpstr>
      <vt:lpstr>Vk</vt:lpstr>
      <vt:lpstr>Vn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abs</dc:creator>
  <cp:keywords/>
  <dc:description/>
  <cp:lastModifiedBy>Jo Helge Gilje</cp:lastModifiedBy>
  <cp:revision/>
  <dcterms:created xsi:type="dcterms:W3CDTF">2009-03-25T21:53:35Z</dcterms:created>
  <dcterms:modified xsi:type="dcterms:W3CDTF">2025-01-20T14:11:03Z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0x0101004F574E3FA57E4249AC746D14D3141959</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y fmtid="{D5CDD505-2E9C-101B-9397-08002B2CF9AE}" pid="10" name="validateEnabled">
    <vt:bool>false</vt:bool>
  </property>
  <property fmtid="{D5CDD505-2E9C-101B-9397-08002B2CF9AE}" pid="11" name="exportEnabled">
    <vt:bool>false</vt:bool>
  </property>
  <property fmtid="{D5CDD505-2E9C-101B-9397-08002B2CF9AE}" pid="12" name="debugVisible">
    <vt:bool>false</vt:bool>
  </property>
  <property fmtid="{D5CDD505-2E9C-101B-9397-08002B2CF9AE}" pid="13" name="importEnabled">
    <vt:bool>false</vt:bool>
  </property>
</Properties>
</file>